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<sst xmlns="http://schemas.openxmlformats.org/spreadsheetml/2006/main" count="176" uniqueCount="94">
  <si>
    <t>№ п/п</t>
  </si>
  <si>
    <t>Всего по программе</t>
  </si>
  <si>
    <t>1.1.</t>
  </si>
  <si>
    <t>1.1.1.</t>
  </si>
  <si>
    <t>ул. Менделеева (от ул. Вавилова до ул. Магистральная)</t>
  </si>
  <si>
    <t>1.1.2.</t>
  </si>
  <si>
    <t>1.2.</t>
  </si>
  <si>
    <t>ул. Попова (от ул. Мира до транспортной развязки)</t>
  </si>
  <si>
    <t>1.3.</t>
  </si>
  <si>
    <t>1.3.1.</t>
  </si>
  <si>
    <t>ул.Магистральная (от ул.  Садовая  до Сибирского бульвара)</t>
  </si>
  <si>
    <t>1.3.2.</t>
  </si>
  <si>
    <t>1.3.3.</t>
  </si>
  <si>
    <t>Ул. Магистральная (от Садовая до Киевской)</t>
  </si>
  <si>
    <t>1.3.4.</t>
  </si>
  <si>
    <t>Ул. Магистральная (от ул. Сибирский бульвар до ул. Южная)</t>
  </si>
  <si>
    <t>1.4.</t>
  </si>
  <si>
    <t xml:space="preserve">ул. Никольская </t>
  </si>
  <si>
    <t>1.4.1.</t>
  </si>
  <si>
    <t>ул. Никольская (от ул. Студенческая до ул. Газовиков)</t>
  </si>
  <si>
    <t>1.4.2.</t>
  </si>
  <si>
    <t>ул. Никольская (от ул. Газовиков до ул. Промышленная)</t>
  </si>
  <si>
    <t>1.5.</t>
  </si>
  <si>
    <t>ул. Механизаторов (от Ленина до Калинина)</t>
  </si>
  <si>
    <t>1.6.</t>
  </si>
  <si>
    <t>ул. Калинина (от Механизаторов до Славянской)</t>
  </si>
  <si>
    <t>1.7.</t>
  </si>
  <si>
    <t>1.8.</t>
  </si>
  <si>
    <t>1.9.</t>
  </si>
  <si>
    <t>ул. Мичурина-ул. Лунная</t>
  </si>
  <si>
    <t>1.10.</t>
  </si>
  <si>
    <t>ул. Свердлова (от детского сада Брусничка до ул. Студенческая)</t>
  </si>
  <si>
    <t>2.1.</t>
  </si>
  <si>
    <t>2.1.1.</t>
  </si>
  <si>
    <t>2.1.2.</t>
  </si>
  <si>
    <t>ул. Ленина (от 40 лет Победы до школы №1)</t>
  </si>
  <si>
    <t>2.2.</t>
  </si>
  <si>
    <t>2.2.1.</t>
  </si>
  <si>
    <t>ул. Попова (от ул. Лесозаготовителей до ул. Гастелло)</t>
  </si>
  <si>
    <t>2.2.2.</t>
  </si>
  <si>
    <t>2.3.</t>
  </si>
  <si>
    <t>2.4.</t>
  </si>
  <si>
    <t>2.5.</t>
  </si>
  <si>
    <t>2.6.</t>
  </si>
  <si>
    <t>ул. Спортивная (от ул. Попова до ул. Калинина)</t>
  </si>
  <si>
    <t>2.7.</t>
  </si>
  <si>
    <t>2.8.</t>
  </si>
  <si>
    <t>ул. Калинина (от Спортивной до Гастелло)</t>
  </si>
  <si>
    <t>2.9.</t>
  </si>
  <si>
    <t>2.10.</t>
  </si>
  <si>
    <t>2.11.</t>
  </si>
  <si>
    <t>2.12.</t>
  </si>
  <si>
    <t>Ул. Студенческая (от кольца до Садовой)</t>
  </si>
  <si>
    <t>Ул. Студенческая (от ул. Садовой до ул. Менделеева)</t>
  </si>
  <si>
    <t>2.13.</t>
  </si>
  <si>
    <t>ул. Железнодорожная (от вещевого рынка до 16 мкр)</t>
  </si>
  <si>
    <t>ул. Вавилова (от ул. Кондинской до ул. Ермака)</t>
  </si>
  <si>
    <t xml:space="preserve">ул. 40 лет Победы </t>
  </si>
  <si>
    <t>2.10.1.</t>
  </si>
  <si>
    <t>2.10.2.</t>
  </si>
  <si>
    <t>Исполнитель ДЖКиСК</t>
  </si>
  <si>
    <t>Наименование мероприятия</t>
  </si>
  <si>
    <t>План по Программе, 
тыс. руб.</t>
  </si>
  <si>
    <t>Требовалось дополнительно, тыс. руб.</t>
  </si>
  <si>
    <t>Утверждено в бюджете,
тыс. руб</t>
  </si>
  <si>
    <t>Исполнено, тыс руб.</t>
  </si>
  <si>
    <t>Результат
к утвержд. по Программе, %</t>
  </si>
  <si>
    <t>Результат,
к утвержд. по бюджету,
%</t>
  </si>
  <si>
    <t>в т.ч.: окружной бюджет</t>
  </si>
  <si>
    <t>городской бюджет</t>
  </si>
  <si>
    <t>Отчет о реализации Программы  "Совершенствование и развитие сети автомобильных дорог в городе Югорске на 2008-2011 годы"</t>
  </si>
  <si>
    <t>Всего за период 2008 - 2011 годы</t>
  </si>
  <si>
    <t>в том числе: 2011 год</t>
  </si>
  <si>
    <t>ул. Менделеева</t>
  </si>
  <si>
    <t>Утверждено в бюджете,
тыс. руб.</t>
  </si>
  <si>
    <t>Всего по строительству и реконструкции дорог</t>
  </si>
  <si>
    <t>ул. Менделеева (от ул.  Магистральная до ул. Студенческая)</t>
  </si>
  <si>
    <t>ул. Магистральная</t>
  </si>
  <si>
    <t>Ул. Магистральная - Киевская до путепровода</t>
  </si>
  <si>
    <t>ул. Мира (от ул. Калинина до ул. Ленина)</t>
  </si>
  <si>
    <t>ул. Защитников Отечества-Солнечная-Покровская)</t>
  </si>
  <si>
    <t>Всего по капитальному ремонту дорог</t>
  </si>
  <si>
    <t>ул. Ленина</t>
  </si>
  <si>
    <t>ул. Ленина (от 40 лет Победы до Мира)</t>
  </si>
  <si>
    <t xml:space="preserve">ул. Попова </t>
  </si>
  <si>
    <t>ул. Попова (от ж.д переезда до 16 мкр)</t>
  </si>
  <si>
    <t>ул. Мира (от Энтузиастов до школы №2)</t>
  </si>
  <si>
    <t>ул. Газовиков (от Свердлова до Никольской)</t>
  </si>
  <si>
    <t>ул. Лесозаготовителей</t>
  </si>
  <si>
    <t>ул. Южная</t>
  </si>
  <si>
    <t>ул. Таежная (от Мира до Спортивной)</t>
  </si>
  <si>
    <t>ул. Студенческая</t>
  </si>
  <si>
    <t>Результат
к утвержд. по Программе,  %</t>
  </si>
  <si>
    <t>Таблица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</si>
</sst>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/yy"/>
    <numFmt numFmtId="166" formatCode="#,##0.000"/>
    <numFmt numFmtId="167" formatCode="#,##0.0"/>
    <numFmt numFmtId="168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7" fontId="22" fillId="0" borderId="11" xfId="0" applyNumberFormat="1" applyFont="1" applyBorder="1" applyAlignment="1">
      <alignment horizontal="center" vertical="center"/>
    </xf>
    <xf numFmtId="167" fontId="22" fillId="0" borderId="13" xfId="0" applyNumberFormat="1" applyFont="1" applyBorder="1" applyAlignment="1">
      <alignment horizontal="center" vertical="center"/>
    </xf>
    <xf numFmtId="16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7" fontId="20" fillId="0" borderId="16" xfId="0" applyNumberFormat="1" applyFont="1" applyBorder="1" applyAlignment="1">
      <alignment horizontal="center" vertical="center"/>
    </xf>
    <xf numFmtId="167" fontId="20" fillId="0" borderId="14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7" fontId="20" fillId="0" borderId="20" xfId="0" applyNumberFormat="1" applyFont="1" applyBorder="1" applyAlignment="1">
      <alignment horizontal="center" vertical="center"/>
    </xf>
    <xf numFmtId="167" fontId="20" fillId="0" borderId="2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67" fontId="22" fillId="0" borderId="24" xfId="0" applyNumberFormat="1" applyFont="1" applyBorder="1" applyAlignment="1">
      <alignment horizontal="center" vertical="center"/>
    </xf>
    <xf numFmtId="167" fontId="22" fillId="0" borderId="26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right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67" fontId="20" fillId="0" borderId="28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6" xfId="0" applyFont="1" applyBorder="1" applyAlignment="1">
      <alignment wrapText="1"/>
    </xf>
    <xf numFmtId="167" fontId="20" fillId="0" borderId="30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right" vertical="top" wrapText="1"/>
    </xf>
    <xf numFmtId="0" fontId="25" fillId="0" borderId="23" xfId="0" applyFont="1" applyBorder="1" applyAlignment="1">
      <alignment horizontal="right" vertical="center"/>
    </xf>
    <xf numFmtId="0" fontId="25" fillId="0" borderId="24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167" fontId="25" fillId="0" borderId="24" xfId="0" applyNumberFormat="1" applyFont="1" applyBorder="1" applyAlignment="1">
      <alignment horizontal="right" vertical="center"/>
    </xf>
    <xf numFmtId="167" fontId="25" fillId="0" borderId="26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67" fontId="23" fillId="0" borderId="16" xfId="0" applyNumberFormat="1" applyFont="1" applyBorder="1" applyAlignment="1">
      <alignment horizontal="right" vertical="center"/>
    </xf>
    <xf numFmtId="167" fontId="23" fillId="0" borderId="14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167" fontId="23" fillId="0" borderId="20" xfId="0" applyNumberFormat="1" applyFont="1" applyBorder="1" applyAlignment="1">
      <alignment horizontal="right" vertical="center"/>
    </xf>
    <xf numFmtId="167" fontId="23" fillId="0" borderId="22" xfId="0" applyNumberFormat="1" applyFont="1" applyBorder="1" applyAlignment="1">
      <alignment horizontal="right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center" wrapText="1"/>
    </xf>
    <xf numFmtId="167" fontId="21" fillId="24" borderId="24" xfId="0" applyNumberFormat="1" applyFont="1" applyFill="1" applyBorder="1" applyAlignment="1">
      <alignment horizontal="center" vertical="center"/>
    </xf>
    <xf numFmtId="167" fontId="22" fillId="24" borderId="33" xfId="0" applyNumberFormat="1" applyFont="1" applyFill="1" applyBorder="1" applyAlignment="1">
      <alignment horizontal="center" vertical="center"/>
    </xf>
    <xf numFmtId="167" fontId="22" fillId="24" borderId="34" xfId="0" applyNumberFormat="1" applyFont="1" applyFill="1" applyBorder="1" applyAlignment="1">
      <alignment horizontal="center" vertical="center"/>
    </xf>
    <xf numFmtId="167" fontId="25" fillId="24" borderId="16" xfId="0" applyNumberFormat="1" applyFont="1" applyFill="1" applyBorder="1" applyAlignment="1">
      <alignment vertical="center"/>
    </xf>
    <xf numFmtId="167" fontId="25" fillId="24" borderId="14" xfId="0" applyNumberFormat="1" applyFont="1" applyFill="1" applyBorder="1" applyAlignment="1">
      <alignment vertical="center"/>
    </xf>
    <xf numFmtId="167" fontId="25" fillId="24" borderId="30" xfId="0" applyNumberFormat="1" applyFont="1" applyFill="1" applyBorder="1" applyAlignment="1">
      <alignment vertical="center"/>
    </xf>
    <xf numFmtId="167" fontId="25" fillId="24" borderId="35" xfId="0" applyNumberFormat="1" applyFont="1" applyFill="1" applyBorder="1" applyAlignment="1">
      <alignment vertical="center"/>
    </xf>
    <xf numFmtId="167" fontId="23" fillId="0" borderId="30" xfId="0" applyNumberFormat="1" applyFont="1" applyBorder="1" applyAlignment="1">
      <alignment horizontal="right" vertic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wrapText="1"/>
    </xf>
    <xf numFmtId="0" fontId="25" fillId="0" borderId="26" xfId="0" applyFont="1" applyBorder="1" applyAlignment="1">
      <alignment horizontal="right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21" fillId="24" borderId="24" xfId="0" applyNumberFormat="1" applyFont="1" applyFill="1" applyBorder="1" applyAlignment="1">
      <alignment horizontal="center" vertical="center"/>
    </xf>
    <xf numFmtId="3" fontId="24" fillId="24" borderId="16" xfId="0" applyNumberFormat="1" applyFont="1" applyFill="1" applyBorder="1" applyAlignment="1">
      <alignment vertical="center"/>
    </xf>
    <xf numFmtId="3" fontId="24" fillId="24" borderId="20" xfId="0" applyNumberFormat="1" applyFont="1" applyFill="1" applyBorder="1" applyAlignment="1">
      <alignment vertical="center"/>
    </xf>
    <xf numFmtId="0" fontId="22" fillId="24" borderId="26" xfId="0" applyFont="1" applyFill="1" applyBorder="1" applyAlignment="1">
      <alignment wrapText="1"/>
    </xf>
    <xf numFmtId="0" fontId="23" fillId="24" borderId="14" xfId="0" applyFont="1" applyFill="1" applyBorder="1" applyAlignment="1">
      <alignment/>
    </xf>
    <xf numFmtId="0" fontId="23" fillId="24" borderId="22" xfId="0" applyFont="1" applyFill="1" applyBorder="1" applyAlignment="1">
      <alignment/>
    </xf>
    <xf numFmtId="0" fontId="22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3" fontId="21" fillId="24" borderId="23" xfId="0" applyNumberFormat="1" applyFont="1" applyFill="1" applyBorder="1" applyAlignment="1">
      <alignment horizontal="center" vertical="center"/>
    </xf>
    <xf numFmtId="3" fontId="24" fillId="24" borderId="15" xfId="0" applyNumberFormat="1" applyFont="1" applyFill="1" applyBorder="1" applyAlignment="1">
      <alignment vertical="center"/>
    </xf>
    <xf numFmtId="3" fontId="24" fillId="24" borderId="19" xfId="0" applyNumberFormat="1" applyFont="1" applyFill="1" applyBorder="1" applyAlignment="1">
      <alignment vertical="center"/>
    </xf>
    <xf numFmtId="167" fontId="20" fillId="0" borderId="35" xfId="0" applyNumberFormat="1" applyFont="1" applyBorder="1" applyAlignment="1">
      <alignment horizontal="center" vertical="center"/>
    </xf>
    <xf numFmtId="167" fontId="20" fillId="0" borderId="18" xfId="0" applyNumberFormat="1" applyFont="1" applyBorder="1" applyAlignment="1">
      <alignment horizontal="center" vertical="center"/>
    </xf>
    <xf numFmtId="167" fontId="21" fillId="24" borderId="23" xfId="0" applyNumberFormat="1" applyFont="1" applyFill="1" applyBorder="1" applyAlignment="1">
      <alignment horizontal="center" vertical="center"/>
    </xf>
    <xf numFmtId="167" fontId="23" fillId="0" borderId="35" xfId="0" applyNumberFormat="1" applyFont="1" applyBorder="1" applyAlignment="1">
      <alignment horizontal="right" vertical="center"/>
    </xf>
    <xf numFmtId="0" fontId="22" fillId="0" borderId="26" xfId="0" applyFont="1" applyBorder="1" applyAlignment="1">
      <alignment vertical="center" wrapText="1"/>
    </xf>
    <xf numFmtId="0" fontId="21" fillId="25" borderId="13" xfId="0" applyFont="1" applyFill="1" applyBorder="1" applyAlignment="1">
      <alignment horizontal="center" vertical="center"/>
    </xf>
    <xf numFmtId="3" fontId="21" fillId="25" borderId="41" xfId="0" applyNumberFormat="1" applyFont="1" applyFill="1" applyBorder="1" applyAlignment="1">
      <alignment horizontal="center" vertical="center"/>
    </xf>
    <xf numFmtId="3" fontId="21" fillId="25" borderId="42" xfId="0" applyNumberFormat="1" applyFont="1" applyFill="1" applyBorder="1" applyAlignment="1">
      <alignment horizontal="center" vertical="center"/>
    </xf>
    <xf numFmtId="167" fontId="22" fillId="25" borderId="42" xfId="0" applyNumberFormat="1" applyFont="1" applyFill="1" applyBorder="1" applyAlignment="1">
      <alignment horizontal="center" vertical="center"/>
    </xf>
    <xf numFmtId="167" fontId="22" fillId="25" borderId="43" xfId="0" applyNumberFormat="1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right"/>
    </xf>
    <xf numFmtId="3" fontId="24" fillId="25" borderId="15" xfId="0" applyNumberFormat="1" applyFont="1" applyFill="1" applyBorder="1" applyAlignment="1">
      <alignment vertical="center"/>
    </xf>
    <xf numFmtId="3" fontId="24" fillId="25" borderId="16" xfId="0" applyNumberFormat="1" applyFont="1" applyFill="1" applyBorder="1" applyAlignment="1">
      <alignment vertical="center"/>
    </xf>
    <xf numFmtId="167" fontId="25" fillId="25" borderId="16" xfId="0" applyNumberFormat="1" applyFont="1" applyFill="1" applyBorder="1" applyAlignment="1">
      <alignment vertical="center"/>
    </xf>
    <xf numFmtId="167" fontId="25" fillId="25" borderId="14" xfId="0" applyNumberFormat="1" applyFont="1" applyFill="1" applyBorder="1" applyAlignment="1">
      <alignment vertical="center"/>
    </xf>
    <xf numFmtId="0" fontId="23" fillId="25" borderId="18" xfId="0" applyFont="1" applyFill="1" applyBorder="1" applyAlignment="1">
      <alignment horizontal="right"/>
    </xf>
    <xf numFmtId="3" fontId="24" fillId="25" borderId="41" xfId="0" applyNumberFormat="1" applyFont="1" applyFill="1" applyBorder="1" applyAlignment="1">
      <alignment vertical="center"/>
    </xf>
    <xf numFmtId="3" fontId="24" fillId="25" borderId="42" xfId="0" applyNumberFormat="1" applyFont="1" applyFill="1" applyBorder="1" applyAlignment="1">
      <alignment vertical="center"/>
    </xf>
    <xf numFmtId="167" fontId="25" fillId="25" borderId="42" xfId="0" applyNumberFormat="1" applyFont="1" applyFill="1" applyBorder="1" applyAlignment="1">
      <alignment vertical="center"/>
    </xf>
    <xf numFmtId="167" fontId="25" fillId="25" borderId="43" xfId="0" applyNumberFormat="1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45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 horizontal="center" vertical="center"/>
    </xf>
    <xf numFmtId="0" fontId="23" fillId="0" borderId="45" xfId="0" applyFont="1" applyBorder="1" applyAlignment="1">
      <alignment horizontal="right" vertical="center"/>
    </xf>
    <xf numFmtId="0" fontId="23" fillId="0" borderId="41" xfId="0" applyFont="1" applyBorder="1" applyAlignment="1">
      <alignment horizontal="right" vertical="center"/>
    </xf>
    <xf numFmtId="0" fontId="23" fillId="0" borderId="46" xfId="0" applyFont="1" applyBorder="1" applyAlignment="1">
      <alignment horizontal="right" vertical="center"/>
    </xf>
    <xf numFmtId="0" fontId="20" fillId="0" borderId="45" xfId="0" applyFont="1" applyBorder="1" applyAlignment="1">
      <alignment horizontal="right" vertical="center"/>
    </xf>
    <xf numFmtId="0" fontId="20" fillId="0" borderId="41" xfId="0" applyFont="1" applyBorder="1" applyAlignment="1">
      <alignment horizontal="right" vertical="center"/>
    </xf>
    <xf numFmtId="0" fontId="20" fillId="0" borderId="46" xfId="0" applyFont="1" applyBorder="1" applyAlignment="1">
      <alignment horizontal="right" vertical="center"/>
    </xf>
    <xf numFmtId="0" fontId="19" fillId="0" borderId="0" xfId="0" applyFont="1" applyAlignment="1">
      <alignment horizont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1" fillId="25" borderId="4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4" sqref="O4"/>
    </sheetView>
  </sheetViews>
  <sheetFormatPr defaultColWidth="9.00390625" defaultRowHeight="12.75"/>
  <cols>
    <col min="1" max="1" width="6.125" style="3" customWidth="1"/>
    <col min="2" max="2" width="29.125" style="1" customWidth="1"/>
    <col min="3" max="3" width="11.00390625" style="3" customWidth="1"/>
    <col min="4" max="4" width="11.75390625" style="3" hidden="1" customWidth="1"/>
    <col min="5" max="5" width="10.375" style="3" customWidth="1"/>
    <col min="6" max="6" width="10.625" style="3" customWidth="1"/>
    <col min="7" max="7" width="10.875" style="3" customWidth="1"/>
    <col min="8" max="8" width="10.375" style="3" customWidth="1"/>
    <col min="9" max="9" width="10.75390625" style="3" customWidth="1"/>
    <col min="10" max="10" width="9.875" style="3" hidden="1" customWidth="1"/>
    <col min="11" max="11" width="12.375" style="3" bestFit="1" customWidth="1"/>
    <col min="12" max="12" width="10.00390625" style="3" customWidth="1"/>
    <col min="13" max="13" width="10.375" style="3" customWidth="1"/>
    <col min="14" max="14" width="11.00390625" style="3" customWidth="1"/>
    <col min="15" max="15" width="14.625" style="1" customWidth="1"/>
    <col min="16" max="16384" width="9.125" style="1" customWidth="1"/>
  </cols>
  <sheetData>
    <row r="1" ht="14.25" customHeight="1">
      <c r="N1" s="113" t="s">
        <v>93</v>
      </c>
    </row>
    <row r="2" spans="1:14" ht="16.5" customHeight="1">
      <c r="A2" s="126" t="s">
        <v>70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ht="19.5" customHeight="1" thickBot="1">
      <c r="A3" s="2" t="s">
        <v>60</v>
      </c>
    </row>
    <row r="4" spans="1:14" s="4" customFormat="1" ht="25.5" customHeight="1">
      <c r="A4" s="127" t="s">
        <v>0</v>
      </c>
      <c r="B4" s="129" t="s">
        <v>61</v>
      </c>
      <c r="C4" s="131" t="s">
        <v>71</v>
      </c>
      <c r="D4" s="132"/>
      <c r="E4" s="132"/>
      <c r="F4" s="132"/>
      <c r="G4" s="132"/>
      <c r="H4" s="133"/>
      <c r="I4" s="134" t="s">
        <v>72</v>
      </c>
      <c r="J4" s="135"/>
      <c r="K4" s="135"/>
      <c r="L4" s="135"/>
      <c r="M4" s="135"/>
      <c r="N4" s="136"/>
    </row>
    <row r="5" spans="1:14" s="4" customFormat="1" ht="69.75" customHeight="1" thickBot="1">
      <c r="A5" s="128"/>
      <c r="B5" s="130"/>
      <c r="C5" s="107" t="s">
        <v>62</v>
      </c>
      <c r="D5" s="108" t="s">
        <v>63</v>
      </c>
      <c r="E5" s="109" t="s">
        <v>74</v>
      </c>
      <c r="F5" s="109" t="s">
        <v>65</v>
      </c>
      <c r="G5" s="109" t="s">
        <v>66</v>
      </c>
      <c r="H5" s="110" t="s">
        <v>67</v>
      </c>
      <c r="I5" s="107" t="s">
        <v>62</v>
      </c>
      <c r="J5" s="108" t="s">
        <v>63</v>
      </c>
      <c r="K5" s="109" t="s">
        <v>64</v>
      </c>
      <c r="L5" s="111" t="s">
        <v>65</v>
      </c>
      <c r="M5" s="109" t="s">
        <v>92</v>
      </c>
      <c r="N5" s="112" t="s">
        <v>67</v>
      </c>
    </row>
    <row r="6" spans="1:14" s="5" customFormat="1" ht="19.5" customHeight="1">
      <c r="A6" s="137"/>
      <c r="B6" s="92" t="s">
        <v>1</v>
      </c>
      <c r="C6" s="93">
        <f>C7+C8</f>
        <v>450516</v>
      </c>
      <c r="D6" s="94">
        <f>D7+D8</f>
        <v>0</v>
      </c>
      <c r="E6" s="94">
        <f>E7+E8</f>
        <v>447077</v>
      </c>
      <c r="F6" s="94">
        <f>F7+F8</f>
        <v>445252</v>
      </c>
      <c r="G6" s="95">
        <f aca="true" t="shared" si="0" ref="G6:G15">F6*100/(C6+D6)</f>
        <v>98.83156203109324</v>
      </c>
      <c r="H6" s="96">
        <f aca="true" t="shared" si="1" ref="H6:H13">F6*100/E6</f>
        <v>99.59179291263027</v>
      </c>
      <c r="I6" s="93">
        <f>I7+I8</f>
        <v>63117</v>
      </c>
      <c r="J6" s="94">
        <f>J7+J8</f>
        <v>0</v>
      </c>
      <c r="K6" s="94">
        <f>K7+K8</f>
        <v>63117</v>
      </c>
      <c r="L6" s="94">
        <f>L7+L8</f>
        <v>63082</v>
      </c>
      <c r="M6" s="95">
        <f aca="true" t="shared" si="2" ref="M6:M14">L6*100/(I6+J6)</f>
        <v>99.94454742779283</v>
      </c>
      <c r="N6" s="96">
        <f aca="true" t="shared" si="3" ref="N6:N14">L6*100/K6</f>
        <v>99.94454742779283</v>
      </c>
    </row>
    <row r="7" spans="1:14" s="6" customFormat="1" ht="18" customHeight="1">
      <c r="A7" s="137"/>
      <c r="B7" s="97" t="s">
        <v>68</v>
      </c>
      <c r="C7" s="98">
        <f aca="true" t="shared" si="4" ref="C7:F8">C10+C67</f>
        <v>47129</v>
      </c>
      <c r="D7" s="99">
        <f t="shared" si="4"/>
        <v>0</v>
      </c>
      <c r="E7" s="99">
        <f t="shared" si="4"/>
        <v>47129</v>
      </c>
      <c r="F7" s="99">
        <f t="shared" si="4"/>
        <v>47098</v>
      </c>
      <c r="G7" s="100">
        <f t="shared" si="0"/>
        <v>99.93422308981731</v>
      </c>
      <c r="H7" s="101">
        <f t="shared" si="1"/>
        <v>99.93422308981731</v>
      </c>
      <c r="I7" s="98">
        <f aca="true" t="shared" si="5" ref="I7:L8">I10+I67</f>
        <v>47129</v>
      </c>
      <c r="J7" s="99">
        <f t="shared" si="5"/>
        <v>0</v>
      </c>
      <c r="K7" s="99">
        <f t="shared" si="5"/>
        <v>47129</v>
      </c>
      <c r="L7" s="99">
        <f t="shared" si="5"/>
        <v>47098</v>
      </c>
      <c r="M7" s="100">
        <f t="shared" si="2"/>
        <v>99.93422308981731</v>
      </c>
      <c r="N7" s="101">
        <f t="shared" si="3"/>
        <v>99.93422308981731</v>
      </c>
    </row>
    <row r="8" spans="1:14" s="6" customFormat="1" ht="17.25" customHeight="1" thickBot="1">
      <c r="A8" s="137"/>
      <c r="B8" s="102" t="s">
        <v>69</v>
      </c>
      <c r="C8" s="103">
        <f t="shared" si="4"/>
        <v>403387</v>
      </c>
      <c r="D8" s="104">
        <f t="shared" si="4"/>
        <v>0</v>
      </c>
      <c r="E8" s="104">
        <f t="shared" si="4"/>
        <v>399948</v>
      </c>
      <c r="F8" s="104">
        <f t="shared" si="4"/>
        <v>398154</v>
      </c>
      <c r="G8" s="105">
        <f t="shared" si="0"/>
        <v>98.70273459481838</v>
      </c>
      <c r="H8" s="106">
        <f t="shared" si="1"/>
        <v>99.55144168741937</v>
      </c>
      <c r="I8" s="103">
        <f t="shared" si="5"/>
        <v>15988</v>
      </c>
      <c r="J8" s="104">
        <f t="shared" si="5"/>
        <v>0</v>
      </c>
      <c r="K8" s="104">
        <f t="shared" si="5"/>
        <v>15988</v>
      </c>
      <c r="L8" s="104">
        <f t="shared" si="5"/>
        <v>15984</v>
      </c>
      <c r="M8" s="105">
        <f t="shared" si="2"/>
        <v>99.97498123592695</v>
      </c>
      <c r="N8" s="106">
        <f t="shared" si="3"/>
        <v>99.97498123592695</v>
      </c>
    </row>
    <row r="9" spans="1:14" s="6" customFormat="1" ht="31.5" customHeight="1">
      <c r="A9" s="117">
        <v>1</v>
      </c>
      <c r="B9" s="79" t="s">
        <v>75</v>
      </c>
      <c r="C9" s="84">
        <f>C10+C11</f>
        <v>174297</v>
      </c>
      <c r="D9" s="76">
        <f>D10+D11</f>
        <v>0</v>
      </c>
      <c r="E9" s="76">
        <f>E10+E11</f>
        <v>174099</v>
      </c>
      <c r="F9" s="76">
        <f>F10+F11</f>
        <v>172646</v>
      </c>
      <c r="G9" s="62">
        <f t="shared" si="0"/>
        <v>99.05276625529986</v>
      </c>
      <c r="H9" s="63">
        <f t="shared" si="1"/>
        <v>99.16541737746914</v>
      </c>
      <c r="I9" s="84">
        <f>I10+I11</f>
        <v>22191</v>
      </c>
      <c r="J9" s="76">
        <f>J10+J11</f>
        <v>0</v>
      </c>
      <c r="K9" s="76">
        <f>K10+K11</f>
        <v>22191</v>
      </c>
      <c r="L9" s="76">
        <f>L10+L11</f>
        <v>22161</v>
      </c>
      <c r="M9" s="62">
        <f t="shared" si="2"/>
        <v>99.86481005813168</v>
      </c>
      <c r="N9" s="63">
        <f t="shared" si="3"/>
        <v>99.86481005813168</v>
      </c>
    </row>
    <row r="10" spans="1:14" s="6" customFormat="1" ht="15.75" customHeight="1">
      <c r="A10" s="118"/>
      <c r="B10" s="80" t="s">
        <v>68</v>
      </c>
      <c r="C10" s="85">
        <f aca="true" t="shared" si="6" ref="C10:F11">C13+C22+C25+C40+C49+C52+C55+C58+C61+C64</f>
        <v>20588</v>
      </c>
      <c r="D10" s="77">
        <f t="shared" si="6"/>
        <v>0</v>
      </c>
      <c r="E10" s="77">
        <f t="shared" si="6"/>
        <v>20588</v>
      </c>
      <c r="F10" s="77">
        <f t="shared" si="6"/>
        <v>20558</v>
      </c>
      <c r="G10" s="64">
        <f t="shared" si="0"/>
        <v>99.85428404896057</v>
      </c>
      <c r="H10" s="65">
        <f t="shared" si="1"/>
        <v>99.85428404896057</v>
      </c>
      <c r="I10" s="85">
        <f aca="true" t="shared" si="7" ref="I10:L11">I13+I22+I25+I40+I49+I52+I55+I58+I61+I64</f>
        <v>20588</v>
      </c>
      <c r="J10" s="77">
        <f t="shared" si="7"/>
        <v>0</v>
      </c>
      <c r="K10" s="77">
        <f t="shared" si="7"/>
        <v>20588</v>
      </c>
      <c r="L10" s="77">
        <f t="shared" si="7"/>
        <v>20558</v>
      </c>
      <c r="M10" s="64">
        <f t="shared" si="2"/>
        <v>99.85428404896057</v>
      </c>
      <c r="N10" s="65">
        <f t="shared" si="3"/>
        <v>99.85428404896057</v>
      </c>
    </row>
    <row r="11" spans="1:14" s="6" customFormat="1" ht="14.25" customHeight="1" thickBot="1">
      <c r="A11" s="119"/>
      <c r="B11" s="81" t="s">
        <v>69</v>
      </c>
      <c r="C11" s="86">
        <f t="shared" si="6"/>
        <v>153709</v>
      </c>
      <c r="D11" s="78">
        <f t="shared" si="6"/>
        <v>0</v>
      </c>
      <c r="E11" s="78">
        <f t="shared" si="6"/>
        <v>153511</v>
      </c>
      <c r="F11" s="78">
        <f t="shared" si="6"/>
        <v>152088</v>
      </c>
      <c r="G11" s="66">
        <f t="shared" si="0"/>
        <v>98.945409832866</v>
      </c>
      <c r="H11" s="67">
        <f t="shared" si="1"/>
        <v>99.0730305971559</v>
      </c>
      <c r="I11" s="86">
        <f t="shared" si="7"/>
        <v>1603</v>
      </c>
      <c r="J11" s="78">
        <f t="shared" si="7"/>
        <v>0</v>
      </c>
      <c r="K11" s="78">
        <f t="shared" si="7"/>
        <v>1603</v>
      </c>
      <c r="L11" s="78">
        <f t="shared" si="7"/>
        <v>1603</v>
      </c>
      <c r="M11" s="66">
        <f t="shared" si="2"/>
        <v>100</v>
      </c>
      <c r="N11" s="67">
        <f t="shared" si="3"/>
        <v>100</v>
      </c>
    </row>
    <row r="12" spans="1:15" s="13" customFormat="1" ht="12.75">
      <c r="A12" s="115" t="s">
        <v>2</v>
      </c>
      <c r="B12" s="40" t="s">
        <v>73</v>
      </c>
      <c r="C12" s="7">
        <f>SUM(C13:C14)</f>
        <v>68722</v>
      </c>
      <c r="D12" s="8">
        <f>SUM(D13:D14)</f>
        <v>0</v>
      </c>
      <c r="E12" s="8">
        <f>SUM(E13:E14)</f>
        <v>68722</v>
      </c>
      <c r="F12" s="9">
        <f>SUM(F13:F14)</f>
        <v>68233</v>
      </c>
      <c r="G12" s="10">
        <f t="shared" si="0"/>
        <v>99.28843747271615</v>
      </c>
      <c r="H12" s="11">
        <f t="shared" si="1"/>
        <v>99.28843747271615</v>
      </c>
      <c r="I12" s="7">
        <f>SUM(I13:I14)</f>
        <v>10000</v>
      </c>
      <c r="J12" s="8">
        <f>SUM(J13:J14)</f>
        <v>0</v>
      </c>
      <c r="K12" s="8">
        <f>SUM(K13:K14)</f>
        <v>10000</v>
      </c>
      <c r="L12" s="9">
        <f>SUM(L13:L14)</f>
        <v>9994</v>
      </c>
      <c r="M12" s="10">
        <f t="shared" si="2"/>
        <v>99.94</v>
      </c>
      <c r="N12" s="11">
        <f t="shared" si="3"/>
        <v>99.94</v>
      </c>
      <c r="O12" s="12"/>
    </row>
    <row r="13" spans="1:14" ht="12.75">
      <c r="A13" s="115"/>
      <c r="B13" s="14" t="s">
        <v>68</v>
      </c>
      <c r="C13" s="57">
        <f aca="true" t="shared" si="8" ref="C13:F14">C16+C19</f>
        <v>9500</v>
      </c>
      <c r="D13" s="16">
        <f t="shared" si="8"/>
        <v>0</v>
      </c>
      <c r="E13" s="16">
        <f t="shared" si="8"/>
        <v>9500</v>
      </c>
      <c r="F13" s="16">
        <f t="shared" si="8"/>
        <v>9494</v>
      </c>
      <c r="G13" s="18">
        <f t="shared" si="0"/>
        <v>99.93684210526315</v>
      </c>
      <c r="H13" s="19">
        <f t="shared" si="1"/>
        <v>99.93684210526315</v>
      </c>
      <c r="I13" s="15">
        <f aca="true" t="shared" si="9" ref="I13:L14">I16+I19</f>
        <v>9500</v>
      </c>
      <c r="J13" s="16">
        <f t="shared" si="9"/>
        <v>0</v>
      </c>
      <c r="K13" s="16">
        <f t="shared" si="9"/>
        <v>9500</v>
      </c>
      <c r="L13" s="16">
        <f t="shared" si="9"/>
        <v>9494</v>
      </c>
      <c r="M13" s="18">
        <f t="shared" si="2"/>
        <v>99.93684210526315</v>
      </c>
      <c r="N13" s="19">
        <f t="shared" si="3"/>
        <v>99.93684210526315</v>
      </c>
    </row>
    <row r="14" spans="1:14" ht="13.5" thickBot="1">
      <c r="A14" s="115"/>
      <c r="B14" s="20" t="s">
        <v>69</v>
      </c>
      <c r="C14" s="58">
        <f t="shared" si="8"/>
        <v>59222</v>
      </c>
      <c r="D14" s="23">
        <f t="shared" si="8"/>
        <v>0</v>
      </c>
      <c r="E14" s="23">
        <f t="shared" si="8"/>
        <v>59222</v>
      </c>
      <c r="F14" s="23">
        <f t="shared" si="8"/>
        <v>58739</v>
      </c>
      <c r="G14" s="39">
        <f t="shared" si="0"/>
        <v>99.18442470703455</v>
      </c>
      <c r="H14" s="87">
        <f aca="true" t="shared" si="10" ref="H14:H30">F14*100/E14</f>
        <v>99.18442470703455</v>
      </c>
      <c r="I14" s="58">
        <f t="shared" si="9"/>
        <v>500</v>
      </c>
      <c r="J14" s="23">
        <f t="shared" si="9"/>
        <v>0</v>
      </c>
      <c r="K14" s="23">
        <f t="shared" si="9"/>
        <v>500</v>
      </c>
      <c r="L14" s="23">
        <f t="shared" si="9"/>
        <v>500</v>
      </c>
      <c r="M14" s="18">
        <f t="shared" si="2"/>
        <v>100</v>
      </c>
      <c r="N14" s="19">
        <f t="shared" si="3"/>
        <v>100</v>
      </c>
    </row>
    <row r="15" spans="1:14" s="13" customFormat="1" ht="26.25" customHeight="1">
      <c r="A15" s="123" t="s">
        <v>3</v>
      </c>
      <c r="B15" s="41" t="s">
        <v>4</v>
      </c>
      <c r="C15" s="42">
        <f aca="true" t="shared" si="11" ref="C15:L15">SUM(C16:C17)</f>
        <v>56478</v>
      </c>
      <c r="D15" s="43">
        <f t="shared" si="11"/>
        <v>0</v>
      </c>
      <c r="E15" s="43">
        <f>SUM(E16:E17)</f>
        <v>56478</v>
      </c>
      <c r="F15" s="44">
        <f>SUM(F16:F17)</f>
        <v>56467</v>
      </c>
      <c r="G15" s="45">
        <f t="shared" si="0"/>
        <v>99.98052338963845</v>
      </c>
      <c r="H15" s="46">
        <f t="shared" si="10"/>
        <v>99.98052338963845</v>
      </c>
      <c r="I15" s="42">
        <f t="shared" si="11"/>
        <v>0</v>
      </c>
      <c r="J15" s="43">
        <f t="shared" si="11"/>
        <v>0</v>
      </c>
      <c r="K15" s="43">
        <f t="shared" si="11"/>
        <v>0</v>
      </c>
      <c r="L15" s="44">
        <f t="shared" si="11"/>
        <v>0</v>
      </c>
      <c r="M15" s="45"/>
      <c r="N15" s="46"/>
    </row>
    <row r="16" spans="1:14" ht="12.75">
      <c r="A16" s="124"/>
      <c r="B16" s="14" t="s">
        <v>68</v>
      </c>
      <c r="C16" s="47"/>
      <c r="D16" s="48"/>
      <c r="E16" s="48"/>
      <c r="F16" s="49"/>
      <c r="G16" s="50"/>
      <c r="H16" s="51"/>
      <c r="I16" s="47"/>
      <c r="J16" s="48"/>
      <c r="K16" s="48"/>
      <c r="L16" s="49"/>
      <c r="M16" s="50"/>
      <c r="N16" s="51"/>
    </row>
    <row r="17" spans="1:14" ht="13.5" thickBot="1">
      <c r="A17" s="125"/>
      <c r="B17" s="31" t="s">
        <v>69</v>
      </c>
      <c r="C17" s="52">
        <v>56478</v>
      </c>
      <c r="D17" s="53"/>
      <c r="E17" s="53">
        <f>7678+21999+26801</f>
        <v>56478</v>
      </c>
      <c r="F17" s="54">
        <f>7678+21988+26801</f>
        <v>56467</v>
      </c>
      <c r="G17" s="55">
        <f>F17*100/(C17+D17)</f>
        <v>99.98052338963845</v>
      </c>
      <c r="H17" s="56">
        <f t="shared" si="10"/>
        <v>99.98052338963845</v>
      </c>
      <c r="I17" s="52"/>
      <c r="J17" s="53"/>
      <c r="K17" s="53"/>
      <c r="L17" s="54"/>
      <c r="M17" s="55"/>
      <c r="N17" s="56"/>
    </row>
    <row r="18" spans="1:14" s="13" customFormat="1" ht="40.5">
      <c r="A18" s="114" t="s">
        <v>5</v>
      </c>
      <c r="B18" s="41" t="s">
        <v>76</v>
      </c>
      <c r="C18" s="42">
        <f aca="true" t="shared" si="12" ref="C18:L18">SUM(C19:C20)</f>
        <v>12244</v>
      </c>
      <c r="D18" s="43">
        <f t="shared" si="12"/>
        <v>0</v>
      </c>
      <c r="E18" s="43">
        <f>SUM(E19:E20)</f>
        <v>12244</v>
      </c>
      <c r="F18" s="44">
        <f>SUM(F19:F20)</f>
        <v>11766</v>
      </c>
      <c r="G18" s="45">
        <f>F18*100/(C18+D18)</f>
        <v>96.09604704344986</v>
      </c>
      <c r="H18" s="46">
        <f t="shared" si="10"/>
        <v>96.09604704344986</v>
      </c>
      <c r="I18" s="42">
        <f t="shared" si="12"/>
        <v>10000</v>
      </c>
      <c r="J18" s="43">
        <f t="shared" si="12"/>
        <v>0</v>
      </c>
      <c r="K18" s="43">
        <f t="shared" si="12"/>
        <v>10000</v>
      </c>
      <c r="L18" s="44">
        <f t="shared" si="12"/>
        <v>9994</v>
      </c>
      <c r="M18" s="45">
        <f>L18*100/(I18+J18)</f>
        <v>99.94</v>
      </c>
      <c r="N18" s="46">
        <f>L18*100/K18</f>
        <v>99.94</v>
      </c>
    </row>
    <row r="19" spans="1:14" ht="12.75">
      <c r="A19" s="115"/>
      <c r="B19" s="14" t="s">
        <v>68</v>
      </c>
      <c r="C19" s="47">
        <v>9500</v>
      </c>
      <c r="D19" s="48"/>
      <c r="E19" s="48">
        <v>9500</v>
      </c>
      <c r="F19" s="49">
        <v>9494</v>
      </c>
      <c r="G19" s="50">
        <f>F19*100/(C19+D19)</f>
        <v>99.93684210526315</v>
      </c>
      <c r="H19" s="51">
        <f t="shared" si="10"/>
        <v>99.93684210526315</v>
      </c>
      <c r="I19" s="47">
        <v>9500</v>
      </c>
      <c r="J19" s="48"/>
      <c r="K19" s="48">
        <v>9500</v>
      </c>
      <c r="L19" s="49">
        <v>9494</v>
      </c>
      <c r="M19" s="50">
        <f>L19*100/(I19+J19)</f>
        <v>99.93684210526315</v>
      </c>
      <c r="N19" s="51">
        <f>L19*100/K19</f>
        <v>99.93684210526315</v>
      </c>
    </row>
    <row r="20" spans="1:14" ht="13.5" thickBot="1">
      <c r="A20" s="116"/>
      <c r="B20" s="31" t="s">
        <v>69</v>
      </c>
      <c r="C20" s="52">
        <v>2744</v>
      </c>
      <c r="D20" s="53"/>
      <c r="E20" s="53">
        <f>500+392+1852</f>
        <v>2744</v>
      </c>
      <c r="F20" s="54">
        <f>500+392+1380</f>
        <v>2272</v>
      </c>
      <c r="G20" s="55">
        <f>F20*100/(C20+D20)</f>
        <v>82.79883381924198</v>
      </c>
      <c r="H20" s="56">
        <f t="shared" si="10"/>
        <v>82.79883381924198</v>
      </c>
      <c r="I20" s="52">
        <v>500</v>
      </c>
      <c r="J20" s="53"/>
      <c r="K20" s="53">
        <v>500</v>
      </c>
      <c r="L20" s="54">
        <v>500</v>
      </c>
      <c r="M20" s="55">
        <f>L20*100/(I20+J20)</f>
        <v>100</v>
      </c>
      <c r="N20" s="56">
        <f>L20*100/K20</f>
        <v>100</v>
      </c>
    </row>
    <row r="21" spans="1:14" s="13" customFormat="1" ht="25.5">
      <c r="A21" s="114" t="s">
        <v>6</v>
      </c>
      <c r="B21" s="59" t="s">
        <v>7</v>
      </c>
      <c r="C21" s="26">
        <f aca="true" t="shared" si="13" ref="C21:L21">SUM(C22:C23)</f>
        <v>11806</v>
      </c>
      <c r="D21" s="27">
        <f t="shared" si="13"/>
        <v>0</v>
      </c>
      <c r="E21" s="27">
        <f>SUM(E22:E23)</f>
        <v>11806</v>
      </c>
      <c r="F21" s="28">
        <f>SUM(F22:F23)</f>
        <v>11764</v>
      </c>
      <c r="G21" s="29">
        <f>F21*100/(C21+D21)</f>
        <v>99.64424868710825</v>
      </c>
      <c r="H21" s="30">
        <f t="shared" si="10"/>
        <v>99.64424868710825</v>
      </c>
      <c r="I21" s="26">
        <f t="shared" si="13"/>
        <v>0</v>
      </c>
      <c r="J21" s="27">
        <f t="shared" si="13"/>
        <v>0</v>
      </c>
      <c r="K21" s="27">
        <f t="shared" si="13"/>
        <v>0</v>
      </c>
      <c r="L21" s="28">
        <f t="shared" si="13"/>
        <v>0</v>
      </c>
      <c r="M21" s="29"/>
      <c r="N21" s="30"/>
    </row>
    <row r="22" spans="1:14" ht="12.75">
      <c r="A22" s="115"/>
      <c r="B22" s="14" t="s">
        <v>68</v>
      </c>
      <c r="C22" s="15"/>
      <c r="D22" s="16"/>
      <c r="E22" s="16"/>
      <c r="F22" s="17"/>
      <c r="G22" s="18"/>
      <c r="H22" s="19"/>
      <c r="I22" s="15"/>
      <c r="J22" s="16"/>
      <c r="K22" s="16"/>
      <c r="L22" s="17"/>
      <c r="M22" s="18"/>
      <c r="N22" s="19"/>
    </row>
    <row r="23" spans="1:14" ht="13.5" thickBot="1">
      <c r="A23" s="115"/>
      <c r="B23" s="20" t="s">
        <v>69</v>
      </c>
      <c r="C23" s="32">
        <v>11806</v>
      </c>
      <c r="D23" s="33"/>
      <c r="E23" s="33">
        <f>11564+242</f>
        <v>11806</v>
      </c>
      <c r="F23" s="34">
        <f>11564+200</f>
        <v>11764</v>
      </c>
      <c r="G23" s="35">
        <f>F23*100/(C23+D23)</f>
        <v>99.64424868710825</v>
      </c>
      <c r="H23" s="88">
        <f t="shared" si="10"/>
        <v>99.64424868710825</v>
      </c>
      <c r="I23" s="32"/>
      <c r="J23" s="33"/>
      <c r="K23" s="33"/>
      <c r="L23" s="34"/>
      <c r="M23" s="24"/>
      <c r="N23" s="25"/>
    </row>
    <row r="24" spans="1:14" s="13" customFormat="1" ht="12.75">
      <c r="A24" s="114" t="s">
        <v>8</v>
      </c>
      <c r="B24" s="60" t="s">
        <v>77</v>
      </c>
      <c r="C24" s="26">
        <f>SUM(C25:C26)</f>
        <v>30130</v>
      </c>
      <c r="D24" s="27">
        <f>SUM(D25:D26)</f>
        <v>0</v>
      </c>
      <c r="E24" s="27">
        <f>SUM(E25:E26)</f>
        <v>29932</v>
      </c>
      <c r="F24" s="28">
        <f>SUM(F25:F26)</f>
        <v>29497</v>
      </c>
      <c r="G24" s="29">
        <f>F24*100/(C24+D24)</f>
        <v>97.89910388317291</v>
      </c>
      <c r="H24" s="30">
        <f t="shared" si="10"/>
        <v>98.54670586663103</v>
      </c>
      <c r="I24" s="26">
        <f>SUM(I25:I26)</f>
        <v>0</v>
      </c>
      <c r="J24" s="27">
        <f>SUM(J25:J26)</f>
        <v>0</v>
      </c>
      <c r="K24" s="27">
        <f>SUM(K25:K26)</f>
        <v>0</v>
      </c>
      <c r="L24" s="28">
        <f>SUM(L25:L26)</f>
        <v>0</v>
      </c>
      <c r="M24" s="29"/>
      <c r="N24" s="30"/>
    </row>
    <row r="25" spans="1:14" ht="12.75">
      <c r="A25" s="115"/>
      <c r="B25" s="14" t="s">
        <v>68</v>
      </c>
      <c r="C25" s="57">
        <f aca="true" t="shared" si="14" ref="C25:F26">C28+C31+C34+C37</f>
        <v>0</v>
      </c>
      <c r="D25" s="17">
        <f t="shared" si="14"/>
        <v>0</v>
      </c>
      <c r="E25" s="17">
        <f t="shared" si="14"/>
        <v>0</v>
      </c>
      <c r="F25" s="16">
        <f t="shared" si="14"/>
        <v>0</v>
      </c>
      <c r="G25" s="18"/>
      <c r="H25" s="19"/>
      <c r="I25" s="57">
        <f aca="true" t="shared" si="15" ref="I25:L26">I28+I31+I34+I37</f>
        <v>0</v>
      </c>
      <c r="J25" s="17">
        <f t="shared" si="15"/>
        <v>0</v>
      </c>
      <c r="K25" s="17">
        <f t="shared" si="15"/>
        <v>0</v>
      </c>
      <c r="L25" s="16">
        <f t="shared" si="15"/>
        <v>0</v>
      </c>
      <c r="M25" s="18"/>
      <c r="N25" s="19"/>
    </row>
    <row r="26" spans="1:14" ht="13.5" thickBot="1">
      <c r="A26" s="116"/>
      <c r="B26" s="31" t="s">
        <v>69</v>
      </c>
      <c r="C26" s="58">
        <f t="shared" si="14"/>
        <v>30130</v>
      </c>
      <c r="D26" s="23">
        <f t="shared" si="14"/>
        <v>0</v>
      </c>
      <c r="E26" s="23">
        <f t="shared" si="14"/>
        <v>29932</v>
      </c>
      <c r="F26" s="22">
        <f t="shared" si="14"/>
        <v>29497</v>
      </c>
      <c r="G26" s="24">
        <f>F26*100/(C26+D26)</f>
        <v>97.89910388317291</v>
      </c>
      <c r="H26" s="25">
        <f t="shared" si="10"/>
        <v>98.54670586663103</v>
      </c>
      <c r="I26" s="58">
        <f t="shared" si="15"/>
        <v>0</v>
      </c>
      <c r="J26" s="23">
        <f t="shared" si="15"/>
        <v>0</v>
      </c>
      <c r="K26" s="23">
        <f t="shared" si="15"/>
        <v>0</v>
      </c>
      <c r="L26" s="22">
        <f t="shared" si="15"/>
        <v>0</v>
      </c>
      <c r="M26" s="24"/>
      <c r="N26" s="25"/>
    </row>
    <row r="27" spans="1:14" s="13" customFormat="1" ht="41.25" customHeight="1">
      <c r="A27" s="120" t="s">
        <v>9</v>
      </c>
      <c r="B27" s="41" t="s">
        <v>10</v>
      </c>
      <c r="C27" s="42">
        <f aca="true" t="shared" si="16" ref="C27:L27">SUM(C28:C29)</f>
        <v>27366</v>
      </c>
      <c r="D27" s="43">
        <f t="shared" si="16"/>
        <v>0</v>
      </c>
      <c r="E27" s="43">
        <f>SUM(E28:E29)</f>
        <v>27366</v>
      </c>
      <c r="F27" s="44">
        <f>SUM(F28:F29)</f>
        <v>27366</v>
      </c>
      <c r="G27" s="45">
        <f>F27*100/(C27+D27)</f>
        <v>100</v>
      </c>
      <c r="H27" s="46">
        <f t="shared" si="10"/>
        <v>100</v>
      </c>
      <c r="I27" s="42">
        <f t="shared" si="16"/>
        <v>0</v>
      </c>
      <c r="J27" s="43">
        <f t="shared" si="16"/>
        <v>0</v>
      </c>
      <c r="K27" s="43">
        <f t="shared" si="16"/>
        <v>0</v>
      </c>
      <c r="L27" s="44">
        <f t="shared" si="16"/>
        <v>0</v>
      </c>
      <c r="M27" s="45"/>
      <c r="N27" s="46"/>
    </row>
    <row r="28" spans="1:14" ht="12.75">
      <c r="A28" s="121"/>
      <c r="B28" s="14" t="s">
        <v>68</v>
      </c>
      <c r="C28" s="47"/>
      <c r="D28" s="48"/>
      <c r="E28" s="48"/>
      <c r="F28" s="49"/>
      <c r="G28" s="50"/>
      <c r="H28" s="51"/>
      <c r="I28" s="47"/>
      <c r="J28" s="48"/>
      <c r="K28" s="48"/>
      <c r="L28" s="49"/>
      <c r="M28" s="50"/>
      <c r="N28" s="51"/>
    </row>
    <row r="29" spans="1:14" ht="13.5" thickBot="1">
      <c r="A29" s="122"/>
      <c r="B29" s="31" t="s">
        <v>69</v>
      </c>
      <c r="C29" s="52">
        <v>27366</v>
      </c>
      <c r="D29" s="53"/>
      <c r="E29" s="53">
        <f>25396+1184+786</f>
        <v>27366</v>
      </c>
      <c r="F29" s="54">
        <f>25396+1184+786</f>
        <v>27366</v>
      </c>
      <c r="G29" s="55">
        <f>F29*100/(C29+D29)</f>
        <v>100</v>
      </c>
      <c r="H29" s="56">
        <f t="shared" si="10"/>
        <v>100</v>
      </c>
      <c r="I29" s="52"/>
      <c r="J29" s="53"/>
      <c r="K29" s="53"/>
      <c r="L29" s="54"/>
      <c r="M29" s="55"/>
      <c r="N29" s="56"/>
    </row>
    <row r="30" spans="1:14" s="13" customFormat="1" ht="27" customHeight="1">
      <c r="A30" s="120" t="s">
        <v>11</v>
      </c>
      <c r="B30" s="41" t="s">
        <v>78</v>
      </c>
      <c r="C30" s="42">
        <f aca="true" t="shared" si="17" ref="C30:L30">SUM(C31:C32)</f>
        <v>1017</v>
      </c>
      <c r="D30" s="43">
        <f t="shared" si="17"/>
        <v>0</v>
      </c>
      <c r="E30" s="43">
        <f>SUM(E31:E32)</f>
        <v>1017</v>
      </c>
      <c r="F30" s="44">
        <f>SUM(F31:F32)</f>
        <v>1017</v>
      </c>
      <c r="G30" s="45">
        <f>F30*100/(C30+D30)</f>
        <v>100</v>
      </c>
      <c r="H30" s="46">
        <f t="shared" si="10"/>
        <v>100</v>
      </c>
      <c r="I30" s="42">
        <f t="shared" si="17"/>
        <v>0</v>
      </c>
      <c r="J30" s="43">
        <f t="shared" si="17"/>
        <v>0</v>
      </c>
      <c r="K30" s="43">
        <f t="shared" si="17"/>
        <v>0</v>
      </c>
      <c r="L30" s="44">
        <f t="shared" si="17"/>
        <v>0</v>
      </c>
      <c r="M30" s="45"/>
      <c r="N30" s="46"/>
    </row>
    <row r="31" spans="1:14" ht="12.75">
      <c r="A31" s="121"/>
      <c r="B31" s="14" t="s">
        <v>68</v>
      </c>
      <c r="C31" s="47"/>
      <c r="D31" s="48"/>
      <c r="E31" s="48"/>
      <c r="F31" s="49"/>
      <c r="G31" s="50"/>
      <c r="H31" s="51"/>
      <c r="I31" s="47"/>
      <c r="J31" s="48"/>
      <c r="K31" s="48"/>
      <c r="L31" s="49"/>
      <c r="M31" s="50"/>
      <c r="N31" s="51"/>
    </row>
    <row r="32" spans="1:14" ht="13.5" thickBot="1">
      <c r="A32" s="122"/>
      <c r="B32" s="31" t="s">
        <v>69</v>
      </c>
      <c r="C32" s="52">
        <v>1017</v>
      </c>
      <c r="D32" s="53"/>
      <c r="E32" s="53">
        <f>385+632</f>
        <v>1017</v>
      </c>
      <c r="F32" s="54">
        <f>385+632</f>
        <v>1017</v>
      </c>
      <c r="G32" s="55">
        <f>F32*100/(C32+D32)</f>
        <v>100</v>
      </c>
      <c r="H32" s="56">
        <f aca="true" t="shared" si="18" ref="H32:H42">F32*100/E32</f>
        <v>100</v>
      </c>
      <c r="I32" s="52"/>
      <c r="J32" s="53"/>
      <c r="K32" s="53"/>
      <c r="L32" s="54"/>
      <c r="M32" s="55"/>
      <c r="N32" s="56"/>
    </row>
    <row r="33" spans="1:14" s="13" customFormat="1" ht="27">
      <c r="A33" s="120" t="s">
        <v>12</v>
      </c>
      <c r="B33" s="41" t="s">
        <v>13</v>
      </c>
      <c r="C33" s="42">
        <f aca="true" t="shared" si="19" ref="C33:L33">SUM(C34:C35)</f>
        <v>873</v>
      </c>
      <c r="D33" s="43">
        <f t="shared" si="19"/>
        <v>0</v>
      </c>
      <c r="E33" s="43">
        <f>SUM(E34:E35)</f>
        <v>873</v>
      </c>
      <c r="F33" s="44">
        <f>SUM(F34:F35)</f>
        <v>873</v>
      </c>
      <c r="G33" s="45">
        <f>F33*100/(C33+D33)</f>
        <v>100</v>
      </c>
      <c r="H33" s="46">
        <f t="shared" si="18"/>
        <v>100</v>
      </c>
      <c r="I33" s="42">
        <f t="shared" si="19"/>
        <v>0</v>
      </c>
      <c r="J33" s="43">
        <f t="shared" si="19"/>
        <v>0</v>
      </c>
      <c r="K33" s="43">
        <f t="shared" si="19"/>
        <v>0</v>
      </c>
      <c r="L33" s="44">
        <f t="shared" si="19"/>
        <v>0</v>
      </c>
      <c r="M33" s="45"/>
      <c r="N33" s="46"/>
    </row>
    <row r="34" spans="1:14" ht="12.75">
      <c r="A34" s="121"/>
      <c r="B34" s="14" t="s">
        <v>68</v>
      </c>
      <c r="C34" s="47"/>
      <c r="D34" s="48"/>
      <c r="E34" s="48"/>
      <c r="F34" s="49"/>
      <c r="G34" s="50"/>
      <c r="H34" s="51"/>
      <c r="I34" s="47"/>
      <c r="J34" s="48"/>
      <c r="K34" s="48"/>
      <c r="L34" s="49"/>
      <c r="M34" s="50"/>
      <c r="N34" s="51"/>
    </row>
    <row r="35" spans="1:14" ht="13.5" thickBot="1">
      <c r="A35" s="122"/>
      <c r="B35" s="31" t="s">
        <v>69</v>
      </c>
      <c r="C35" s="52">
        <v>873</v>
      </c>
      <c r="D35" s="53"/>
      <c r="E35" s="53">
        <f>493+380</f>
        <v>873</v>
      </c>
      <c r="F35" s="54">
        <f>493+380</f>
        <v>873</v>
      </c>
      <c r="G35" s="55">
        <f>F35*100/(C35+D35)</f>
        <v>100</v>
      </c>
      <c r="H35" s="56">
        <f t="shared" si="18"/>
        <v>100</v>
      </c>
      <c r="I35" s="52"/>
      <c r="J35" s="53"/>
      <c r="K35" s="53"/>
      <c r="L35" s="54"/>
      <c r="M35" s="55"/>
      <c r="N35" s="56"/>
    </row>
    <row r="36" spans="1:14" s="13" customFormat="1" ht="40.5">
      <c r="A36" s="120" t="s">
        <v>14</v>
      </c>
      <c r="B36" s="41" t="s">
        <v>15</v>
      </c>
      <c r="C36" s="42">
        <f aca="true" t="shared" si="20" ref="C36:L36">SUM(C37:C38)</f>
        <v>874</v>
      </c>
      <c r="D36" s="43">
        <f t="shared" si="20"/>
        <v>0</v>
      </c>
      <c r="E36" s="43">
        <f>SUM(E37:E38)</f>
        <v>676</v>
      </c>
      <c r="F36" s="44">
        <f>SUM(F37:F38)</f>
        <v>241</v>
      </c>
      <c r="G36" s="45">
        <f>F36*100/(C36+D36)</f>
        <v>27.57437070938215</v>
      </c>
      <c r="H36" s="46">
        <f t="shared" si="18"/>
        <v>35.650887573964496</v>
      </c>
      <c r="I36" s="42">
        <f t="shared" si="20"/>
        <v>0</v>
      </c>
      <c r="J36" s="43">
        <f t="shared" si="20"/>
        <v>0</v>
      </c>
      <c r="K36" s="43">
        <f t="shared" si="20"/>
        <v>0</v>
      </c>
      <c r="L36" s="44">
        <f t="shared" si="20"/>
        <v>0</v>
      </c>
      <c r="M36" s="45"/>
      <c r="N36" s="46"/>
    </row>
    <row r="37" spans="1:14" ht="12.75">
      <c r="A37" s="121"/>
      <c r="B37" s="14" t="s">
        <v>68</v>
      </c>
      <c r="C37" s="47"/>
      <c r="D37" s="48"/>
      <c r="E37" s="48"/>
      <c r="F37" s="49"/>
      <c r="G37" s="50"/>
      <c r="H37" s="51"/>
      <c r="I37" s="47"/>
      <c r="J37" s="48"/>
      <c r="K37" s="48"/>
      <c r="L37" s="49"/>
      <c r="M37" s="50"/>
      <c r="N37" s="51"/>
    </row>
    <row r="38" spans="1:14" ht="13.5" thickBot="1">
      <c r="A38" s="122"/>
      <c r="B38" s="31" t="s">
        <v>69</v>
      </c>
      <c r="C38" s="52">
        <v>874</v>
      </c>
      <c r="D38" s="53"/>
      <c r="E38" s="53">
        <v>676</v>
      </c>
      <c r="F38" s="54">
        <v>241</v>
      </c>
      <c r="G38" s="55">
        <f>F38*100/(C38+D38)</f>
        <v>27.57437070938215</v>
      </c>
      <c r="H38" s="56">
        <f t="shared" si="18"/>
        <v>35.650887573964496</v>
      </c>
      <c r="I38" s="52"/>
      <c r="J38" s="53"/>
      <c r="K38" s="53"/>
      <c r="L38" s="54"/>
      <c r="M38" s="55"/>
      <c r="N38" s="56"/>
    </row>
    <row r="39" spans="1:14" s="13" customFormat="1" ht="12.75">
      <c r="A39" s="114" t="s">
        <v>16</v>
      </c>
      <c r="B39" s="82" t="s">
        <v>17</v>
      </c>
      <c r="C39" s="26">
        <f>SUM(C40:C41)</f>
        <v>42089</v>
      </c>
      <c r="D39" s="27">
        <f>SUM(D40:D41)</f>
        <v>0</v>
      </c>
      <c r="E39" s="27">
        <f>SUM(E40:E41)</f>
        <v>42089</v>
      </c>
      <c r="F39" s="28">
        <f>SUM(F40:F41)</f>
        <v>41659</v>
      </c>
      <c r="G39" s="29">
        <f>F39*100/(C39+D39)</f>
        <v>98.9783553897693</v>
      </c>
      <c r="H39" s="30">
        <f t="shared" si="18"/>
        <v>98.9783553897693</v>
      </c>
      <c r="I39" s="26">
        <f>SUM(I40:I41)</f>
        <v>969</v>
      </c>
      <c r="J39" s="27">
        <f>SUM(J40:J41)</f>
        <v>0</v>
      </c>
      <c r="K39" s="27">
        <f>SUM(K40:K41)</f>
        <v>969</v>
      </c>
      <c r="L39" s="28">
        <f>SUM(L40:L41)</f>
        <v>969</v>
      </c>
      <c r="M39" s="29">
        <f>L39*100/(I39+J39)</f>
        <v>100</v>
      </c>
      <c r="N39" s="30">
        <f>L39*100/K39</f>
        <v>100</v>
      </c>
    </row>
    <row r="40" spans="1:14" ht="12.75">
      <c r="A40" s="115"/>
      <c r="B40" s="14" t="s">
        <v>68</v>
      </c>
      <c r="C40" s="57">
        <f aca="true" t="shared" si="21" ref="C40:F41">C43+C46</f>
        <v>428</v>
      </c>
      <c r="D40" s="17">
        <f t="shared" si="21"/>
        <v>0</v>
      </c>
      <c r="E40" s="17">
        <f t="shared" si="21"/>
        <v>428</v>
      </c>
      <c r="F40" s="16">
        <f t="shared" si="21"/>
        <v>428</v>
      </c>
      <c r="G40" s="18">
        <f>F40*100/(C40+D40)</f>
        <v>100</v>
      </c>
      <c r="H40" s="19">
        <f t="shared" si="18"/>
        <v>100</v>
      </c>
      <c r="I40" s="57">
        <f aca="true" t="shared" si="22" ref="I40:L41">I43+I46</f>
        <v>428</v>
      </c>
      <c r="J40" s="17">
        <f t="shared" si="22"/>
        <v>0</v>
      </c>
      <c r="K40" s="17">
        <f t="shared" si="22"/>
        <v>428</v>
      </c>
      <c r="L40" s="16">
        <f t="shared" si="22"/>
        <v>428</v>
      </c>
      <c r="M40" s="18">
        <f>L40*100/(I40+J40)</f>
        <v>100</v>
      </c>
      <c r="N40" s="19">
        <f>L40*100/K40</f>
        <v>100</v>
      </c>
    </row>
    <row r="41" spans="1:14" ht="13.5" thickBot="1">
      <c r="A41" s="116"/>
      <c r="B41" s="31" t="s">
        <v>69</v>
      </c>
      <c r="C41" s="58">
        <f t="shared" si="21"/>
        <v>41661</v>
      </c>
      <c r="D41" s="23">
        <f t="shared" si="21"/>
        <v>0</v>
      </c>
      <c r="E41" s="23">
        <f t="shared" si="21"/>
        <v>41661</v>
      </c>
      <c r="F41" s="22">
        <f t="shared" si="21"/>
        <v>41231</v>
      </c>
      <c r="G41" s="24">
        <f>F41*100/(C41+D41)</f>
        <v>98.96785962890954</v>
      </c>
      <c r="H41" s="25">
        <f t="shared" si="18"/>
        <v>98.96785962890954</v>
      </c>
      <c r="I41" s="58">
        <f t="shared" si="22"/>
        <v>541</v>
      </c>
      <c r="J41" s="23">
        <f t="shared" si="22"/>
        <v>0</v>
      </c>
      <c r="K41" s="23">
        <f t="shared" si="22"/>
        <v>541</v>
      </c>
      <c r="L41" s="22">
        <f t="shared" si="22"/>
        <v>541</v>
      </c>
      <c r="M41" s="24">
        <f>L41*100/(I41+J41)</f>
        <v>100</v>
      </c>
      <c r="N41" s="25">
        <f>L41*100/K41</f>
        <v>100</v>
      </c>
    </row>
    <row r="42" spans="1:14" s="13" customFormat="1" ht="28.5" customHeight="1">
      <c r="A42" s="123" t="s">
        <v>18</v>
      </c>
      <c r="B42" s="41" t="s">
        <v>19</v>
      </c>
      <c r="C42" s="26">
        <f aca="true" t="shared" si="23" ref="C42:L42">SUM(C43:C44)</f>
        <v>41190</v>
      </c>
      <c r="D42" s="27">
        <f t="shared" si="23"/>
        <v>0</v>
      </c>
      <c r="E42" s="27">
        <f>SUM(E43:E44)</f>
        <v>41190</v>
      </c>
      <c r="F42" s="28">
        <f>SUM(F43:F44)</f>
        <v>41016</v>
      </c>
      <c r="G42" s="29">
        <f>F42*100/(C42+D42)</f>
        <v>99.57756737072106</v>
      </c>
      <c r="H42" s="30">
        <f t="shared" si="18"/>
        <v>99.57756737072106</v>
      </c>
      <c r="I42" s="26">
        <f t="shared" si="23"/>
        <v>519</v>
      </c>
      <c r="J42" s="27">
        <f t="shared" si="23"/>
        <v>0</v>
      </c>
      <c r="K42" s="27">
        <f t="shared" si="23"/>
        <v>519</v>
      </c>
      <c r="L42" s="28">
        <f t="shared" si="23"/>
        <v>519</v>
      </c>
      <c r="M42" s="29">
        <f aca="true" t="shared" si="24" ref="M42:M47">L42*100/(I42+J42)</f>
        <v>100</v>
      </c>
      <c r="N42" s="30">
        <f aca="true" t="shared" si="25" ref="N42:N47">L42*100/K42</f>
        <v>100</v>
      </c>
    </row>
    <row r="43" spans="1:14" ht="16.5" customHeight="1">
      <c r="A43" s="124"/>
      <c r="B43" s="14" t="s">
        <v>68</v>
      </c>
      <c r="C43" s="15"/>
      <c r="D43" s="16"/>
      <c r="E43" s="16"/>
      <c r="F43" s="17"/>
      <c r="G43" s="18"/>
      <c r="H43" s="19"/>
      <c r="I43" s="15"/>
      <c r="J43" s="16"/>
      <c r="K43" s="16"/>
      <c r="L43" s="17"/>
      <c r="M43" s="18"/>
      <c r="N43" s="19"/>
    </row>
    <row r="44" spans="1:14" ht="16.5" customHeight="1" thickBot="1">
      <c r="A44" s="125"/>
      <c r="B44" s="31" t="s">
        <v>69</v>
      </c>
      <c r="C44" s="21">
        <v>41190</v>
      </c>
      <c r="D44" s="22"/>
      <c r="E44" s="22">
        <f>10404+519+30267</f>
        <v>41190</v>
      </c>
      <c r="F44" s="23">
        <f>10403+519+30094</f>
        <v>41016</v>
      </c>
      <c r="G44" s="24">
        <f aca="true" t="shared" si="26" ref="G44:G69">F44*100/(C44+D44)</f>
        <v>99.57756737072106</v>
      </c>
      <c r="H44" s="25">
        <f aca="true" t="shared" si="27" ref="H44:H65">F44*100/E44</f>
        <v>99.57756737072106</v>
      </c>
      <c r="I44" s="21">
        <v>519</v>
      </c>
      <c r="J44" s="22"/>
      <c r="K44" s="22">
        <v>519</v>
      </c>
      <c r="L44" s="23">
        <v>519</v>
      </c>
      <c r="M44" s="24">
        <f t="shared" si="24"/>
        <v>100</v>
      </c>
      <c r="N44" s="25">
        <f t="shared" si="25"/>
        <v>100</v>
      </c>
    </row>
    <row r="45" spans="1:14" s="13" customFormat="1" ht="31.5" customHeight="1">
      <c r="A45" s="123" t="s">
        <v>20</v>
      </c>
      <c r="B45" s="41" t="s">
        <v>21</v>
      </c>
      <c r="C45" s="26">
        <f aca="true" t="shared" si="28" ref="C45:L45">SUM(C46:C47)</f>
        <v>899</v>
      </c>
      <c r="D45" s="27">
        <f t="shared" si="28"/>
        <v>0</v>
      </c>
      <c r="E45" s="27">
        <f>SUM(E46:E47)</f>
        <v>899</v>
      </c>
      <c r="F45" s="28">
        <f>SUM(F46:F47)</f>
        <v>643</v>
      </c>
      <c r="G45" s="29">
        <f t="shared" si="26"/>
        <v>71.52391546162403</v>
      </c>
      <c r="H45" s="30">
        <f t="shared" si="27"/>
        <v>71.52391546162403</v>
      </c>
      <c r="I45" s="26">
        <f t="shared" si="28"/>
        <v>450</v>
      </c>
      <c r="J45" s="27">
        <f t="shared" si="28"/>
        <v>0</v>
      </c>
      <c r="K45" s="27">
        <f t="shared" si="28"/>
        <v>450</v>
      </c>
      <c r="L45" s="28">
        <f t="shared" si="28"/>
        <v>450</v>
      </c>
      <c r="M45" s="29">
        <f t="shared" si="24"/>
        <v>100</v>
      </c>
      <c r="N45" s="30">
        <f t="shared" si="25"/>
        <v>100</v>
      </c>
    </row>
    <row r="46" spans="1:14" ht="15" customHeight="1">
      <c r="A46" s="124"/>
      <c r="B46" s="14" t="s">
        <v>68</v>
      </c>
      <c r="C46" s="15">
        <v>428</v>
      </c>
      <c r="D46" s="16"/>
      <c r="E46" s="16">
        <v>428</v>
      </c>
      <c r="F46" s="17">
        <v>428</v>
      </c>
      <c r="G46" s="18">
        <f t="shared" si="26"/>
        <v>100</v>
      </c>
      <c r="H46" s="19">
        <f t="shared" si="27"/>
        <v>100</v>
      </c>
      <c r="I46" s="15">
        <v>428</v>
      </c>
      <c r="J46" s="16"/>
      <c r="K46" s="16">
        <v>428</v>
      </c>
      <c r="L46" s="17">
        <v>428</v>
      </c>
      <c r="M46" s="18">
        <f t="shared" si="24"/>
        <v>100</v>
      </c>
      <c r="N46" s="19">
        <f t="shared" si="25"/>
        <v>100</v>
      </c>
    </row>
    <row r="47" spans="1:14" ht="15" customHeight="1" thickBot="1">
      <c r="A47" s="125"/>
      <c r="B47" s="31" t="s">
        <v>69</v>
      </c>
      <c r="C47" s="21">
        <v>471</v>
      </c>
      <c r="D47" s="22"/>
      <c r="E47" s="22">
        <f>22+449</f>
        <v>471</v>
      </c>
      <c r="F47" s="23">
        <f>22+193</f>
        <v>215</v>
      </c>
      <c r="G47" s="24">
        <f t="shared" si="26"/>
        <v>45.64755838641189</v>
      </c>
      <c r="H47" s="25">
        <f t="shared" si="27"/>
        <v>45.64755838641189</v>
      </c>
      <c r="I47" s="21">
        <v>22</v>
      </c>
      <c r="J47" s="22"/>
      <c r="K47" s="22">
        <v>22</v>
      </c>
      <c r="L47" s="23">
        <v>22</v>
      </c>
      <c r="M47" s="24">
        <f t="shared" si="24"/>
        <v>100</v>
      </c>
      <c r="N47" s="25">
        <f t="shared" si="25"/>
        <v>100</v>
      </c>
    </row>
    <row r="48" spans="1:14" s="13" customFormat="1" ht="32.25" customHeight="1">
      <c r="A48" s="114" t="s">
        <v>22</v>
      </c>
      <c r="B48" s="36" t="s">
        <v>23</v>
      </c>
      <c r="C48" s="26">
        <f aca="true" t="shared" si="29" ref="C48:L48">SUM(C49:C50)</f>
        <v>9786</v>
      </c>
      <c r="D48" s="27">
        <f t="shared" si="29"/>
        <v>0</v>
      </c>
      <c r="E48" s="27">
        <f>SUM(E49:E50)</f>
        <v>9786</v>
      </c>
      <c r="F48" s="28">
        <f>SUM(F49:F50)</f>
        <v>9784</v>
      </c>
      <c r="G48" s="29">
        <f t="shared" si="26"/>
        <v>99.97956264050684</v>
      </c>
      <c r="H48" s="30">
        <f t="shared" si="27"/>
        <v>99.97956264050684</v>
      </c>
      <c r="I48" s="26">
        <f t="shared" si="29"/>
        <v>5131</v>
      </c>
      <c r="J48" s="27">
        <f t="shared" si="29"/>
        <v>0</v>
      </c>
      <c r="K48" s="27">
        <f t="shared" si="29"/>
        <v>5131</v>
      </c>
      <c r="L48" s="28">
        <f t="shared" si="29"/>
        <v>5131</v>
      </c>
      <c r="M48" s="29">
        <f aca="true" t="shared" si="30" ref="M48:M65">L48*100/(I48+J48)</f>
        <v>100</v>
      </c>
      <c r="N48" s="30">
        <f aca="true" t="shared" si="31" ref="N48:N65">L48*100/K48</f>
        <v>100</v>
      </c>
    </row>
    <row r="49" spans="1:14" ht="15" customHeight="1">
      <c r="A49" s="115"/>
      <c r="B49" s="14" t="s">
        <v>68</v>
      </c>
      <c r="C49" s="15">
        <v>4874</v>
      </c>
      <c r="D49" s="16"/>
      <c r="E49" s="16">
        <v>4874</v>
      </c>
      <c r="F49" s="17">
        <v>4874</v>
      </c>
      <c r="G49" s="18">
        <f t="shared" si="26"/>
        <v>100</v>
      </c>
      <c r="H49" s="19">
        <f t="shared" si="27"/>
        <v>100</v>
      </c>
      <c r="I49" s="15">
        <v>4874</v>
      </c>
      <c r="J49" s="16"/>
      <c r="K49" s="16">
        <v>4874</v>
      </c>
      <c r="L49" s="17">
        <v>4874</v>
      </c>
      <c r="M49" s="18">
        <f t="shared" si="30"/>
        <v>100</v>
      </c>
      <c r="N49" s="19">
        <f t="shared" si="31"/>
        <v>100</v>
      </c>
    </row>
    <row r="50" spans="1:14" ht="15" customHeight="1" thickBot="1">
      <c r="A50" s="116"/>
      <c r="B50" s="31" t="s">
        <v>69</v>
      </c>
      <c r="C50" s="21">
        <v>4912</v>
      </c>
      <c r="D50" s="22"/>
      <c r="E50" s="22">
        <f>4655+257</f>
        <v>4912</v>
      </c>
      <c r="F50" s="23">
        <f>4653+257</f>
        <v>4910</v>
      </c>
      <c r="G50" s="24">
        <f t="shared" si="26"/>
        <v>99.95928338762215</v>
      </c>
      <c r="H50" s="25">
        <f t="shared" si="27"/>
        <v>99.95928338762215</v>
      </c>
      <c r="I50" s="21">
        <v>257</v>
      </c>
      <c r="J50" s="22"/>
      <c r="K50" s="22">
        <v>257</v>
      </c>
      <c r="L50" s="23">
        <v>257</v>
      </c>
      <c r="M50" s="24">
        <f t="shared" si="30"/>
        <v>100</v>
      </c>
      <c r="N50" s="25">
        <f t="shared" si="31"/>
        <v>100</v>
      </c>
    </row>
    <row r="51" spans="1:14" s="13" customFormat="1" ht="25.5">
      <c r="A51" s="114" t="s">
        <v>24</v>
      </c>
      <c r="B51" s="37" t="s">
        <v>25</v>
      </c>
      <c r="C51" s="26">
        <f aca="true" t="shared" si="32" ref="C51:L51">SUM(C52:C53)</f>
        <v>9075</v>
      </c>
      <c r="D51" s="27">
        <f t="shared" si="32"/>
        <v>0</v>
      </c>
      <c r="E51" s="27">
        <f>SUM(E52:E53)</f>
        <v>9075</v>
      </c>
      <c r="F51" s="28">
        <f>SUM(F52:F53)</f>
        <v>9070</v>
      </c>
      <c r="G51" s="29">
        <f t="shared" si="26"/>
        <v>99.94490358126721</v>
      </c>
      <c r="H51" s="30">
        <f t="shared" si="27"/>
        <v>99.94490358126721</v>
      </c>
      <c r="I51" s="26">
        <f t="shared" si="32"/>
        <v>4211</v>
      </c>
      <c r="J51" s="27">
        <f t="shared" si="32"/>
        <v>0</v>
      </c>
      <c r="K51" s="27">
        <f t="shared" si="32"/>
        <v>4211</v>
      </c>
      <c r="L51" s="28">
        <f t="shared" si="32"/>
        <v>4209</v>
      </c>
      <c r="M51" s="29">
        <f t="shared" si="30"/>
        <v>99.9525053431489</v>
      </c>
      <c r="N51" s="30">
        <f t="shared" si="31"/>
        <v>99.9525053431489</v>
      </c>
    </row>
    <row r="52" spans="1:14" ht="12.75">
      <c r="A52" s="115"/>
      <c r="B52" s="14" t="s">
        <v>68</v>
      </c>
      <c r="C52" s="15">
        <v>4000</v>
      </c>
      <c r="D52" s="16"/>
      <c r="E52" s="16">
        <v>4000</v>
      </c>
      <c r="F52" s="17">
        <v>3998</v>
      </c>
      <c r="G52" s="18">
        <f t="shared" si="26"/>
        <v>99.95</v>
      </c>
      <c r="H52" s="19">
        <f t="shared" si="27"/>
        <v>99.95</v>
      </c>
      <c r="I52" s="15">
        <v>4000</v>
      </c>
      <c r="J52" s="16"/>
      <c r="K52" s="16">
        <v>4000</v>
      </c>
      <c r="L52" s="17">
        <v>3998</v>
      </c>
      <c r="M52" s="18">
        <f t="shared" si="30"/>
        <v>99.95</v>
      </c>
      <c r="N52" s="19">
        <f t="shared" si="31"/>
        <v>99.95</v>
      </c>
    </row>
    <row r="53" spans="1:14" ht="13.5" thickBot="1">
      <c r="A53" s="116"/>
      <c r="B53" s="31" t="s">
        <v>69</v>
      </c>
      <c r="C53" s="21">
        <v>5075</v>
      </c>
      <c r="D53" s="22"/>
      <c r="E53" s="22">
        <f>4864+211</f>
        <v>5075</v>
      </c>
      <c r="F53" s="23">
        <f>4861+211</f>
        <v>5072</v>
      </c>
      <c r="G53" s="24">
        <f t="shared" si="26"/>
        <v>99.94088669950739</v>
      </c>
      <c r="H53" s="25">
        <f t="shared" si="27"/>
        <v>99.94088669950739</v>
      </c>
      <c r="I53" s="21">
        <v>211</v>
      </c>
      <c r="J53" s="22"/>
      <c r="K53" s="22">
        <v>211</v>
      </c>
      <c r="L53" s="23">
        <v>211</v>
      </c>
      <c r="M53" s="24">
        <f t="shared" si="30"/>
        <v>100</v>
      </c>
      <c r="N53" s="25">
        <f t="shared" si="31"/>
        <v>100</v>
      </c>
    </row>
    <row r="54" spans="1:14" s="13" customFormat="1" ht="24.75" customHeight="1">
      <c r="A54" s="114" t="s">
        <v>26</v>
      </c>
      <c r="B54" s="38" t="s">
        <v>79</v>
      </c>
      <c r="C54" s="26">
        <f aca="true" t="shared" si="33" ref="C54:L54">SUM(C55:C56)</f>
        <v>679</v>
      </c>
      <c r="D54" s="27">
        <f t="shared" si="33"/>
        <v>0</v>
      </c>
      <c r="E54" s="27">
        <f>SUM(E55:E56)</f>
        <v>679</v>
      </c>
      <c r="F54" s="28">
        <f>SUM(F55:F56)</f>
        <v>660</v>
      </c>
      <c r="G54" s="29">
        <f t="shared" si="26"/>
        <v>97.20176730486008</v>
      </c>
      <c r="H54" s="30">
        <f t="shared" si="27"/>
        <v>97.20176730486008</v>
      </c>
      <c r="I54" s="26">
        <f t="shared" si="33"/>
        <v>470</v>
      </c>
      <c r="J54" s="27">
        <f t="shared" si="33"/>
        <v>0</v>
      </c>
      <c r="K54" s="27">
        <f t="shared" si="33"/>
        <v>470</v>
      </c>
      <c r="L54" s="28">
        <f t="shared" si="33"/>
        <v>462</v>
      </c>
      <c r="M54" s="29">
        <f t="shared" si="30"/>
        <v>98.29787234042553</v>
      </c>
      <c r="N54" s="30">
        <f t="shared" si="31"/>
        <v>98.29787234042553</v>
      </c>
    </row>
    <row r="55" spans="1:14" ht="12.75">
      <c r="A55" s="115"/>
      <c r="B55" s="14" t="s">
        <v>68</v>
      </c>
      <c r="C55" s="15">
        <v>447</v>
      </c>
      <c r="D55" s="16"/>
      <c r="E55" s="16">
        <v>447</v>
      </c>
      <c r="F55" s="17">
        <v>439</v>
      </c>
      <c r="G55" s="18">
        <f t="shared" si="26"/>
        <v>98.2102908277405</v>
      </c>
      <c r="H55" s="19">
        <f t="shared" si="27"/>
        <v>98.2102908277405</v>
      </c>
      <c r="I55" s="15">
        <v>447</v>
      </c>
      <c r="J55" s="16"/>
      <c r="K55" s="16">
        <v>447</v>
      </c>
      <c r="L55" s="17">
        <v>439</v>
      </c>
      <c r="M55" s="18">
        <f t="shared" si="30"/>
        <v>98.2102908277405</v>
      </c>
      <c r="N55" s="19">
        <f t="shared" si="31"/>
        <v>98.2102908277405</v>
      </c>
    </row>
    <row r="56" spans="1:14" ht="13.5" thickBot="1">
      <c r="A56" s="116"/>
      <c r="B56" s="31" t="s">
        <v>69</v>
      </c>
      <c r="C56" s="21">
        <v>232</v>
      </c>
      <c r="D56" s="22"/>
      <c r="E56" s="22">
        <f>23+209</f>
        <v>232</v>
      </c>
      <c r="F56" s="23">
        <f>23+198</f>
        <v>221</v>
      </c>
      <c r="G56" s="24">
        <f t="shared" si="26"/>
        <v>95.25862068965517</v>
      </c>
      <c r="H56" s="25">
        <f t="shared" si="27"/>
        <v>95.25862068965517</v>
      </c>
      <c r="I56" s="21">
        <v>23</v>
      </c>
      <c r="J56" s="22"/>
      <c r="K56" s="22">
        <v>23</v>
      </c>
      <c r="L56" s="23">
        <v>23</v>
      </c>
      <c r="M56" s="24">
        <f t="shared" si="30"/>
        <v>100</v>
      </c>
      <c r="N56" s="25">
        <f t="shared" si="31"/>
        <v>100</v>
      </c>
    </row>
    <row r="57" spans="1:14" s="13" customFormat="1" ht="30" customHeight="1">
      <c r="A57" s="114" t="s">
        <v>27</v>
      </c>
      <c r="B57" s="38" t="s">
        <v>80</v>
      </c>
      <c r="C57" s="26">
        <f aca="true" t="shared" si="34" ref="C57:L57">SUM(C58:C59)</f>
        <v>710</v>
      </c>
      <c r="D57" s="27">
        <f t="shared" si="34"/>
        <v>0</v>
      </c>
      <c r="E57" s="27">
        <f>SUM(E58:E59)</f>
        <v>710</v>
      </c>
      <c r="F57" s="28">
        <f>SUM(F58:F59)</f>
        <v>703</v>
      </c>
      <c r="G57" s="29">
        <f t="shared" si="26"/>
        <v>99.01408450704226</v>
      </c>
      <c r="H57" s="30">
        <f t="shared" si="27"/>
        <v>99.01408450704226</v>
      </c>
      <c r="I57" s="26">
        <f t="shared" si="34"/>
        <v>510</v>
      </c>
      <c r="J57" s="27">
        <f t="shared" si="34"/>
        <v>0</v>
      </c>
      <c r="K57" s="27">
        <f t="shared" si="34"/>
        <v>510</v>
      </c>
      <c r="L57" s="28">
        <f t="shared" si="34"/>
        <v>503</v>
      </c>
      <c r="M57" s="29">
        <f t="shared" si="30"/>
        <v>98.62745098039215</v>
      </c>
      <c r="N57" s="30">
        <f t="shared" si="31"/>
        <v>98.62745098039215</v>
      </c>
    </row>
    <row r="58" spans="1:14" ht="12.75">
      <c r="A58" s="115"/>
      <c r="B58" s="14" t="s">
        <v>68</v>
      </c>
      <c r="C58" s="15">
        <v>484</v>
      </c>
      <c r="D58" s="16"/>
      <c r="E58" s="16">
        <v>484</v>
      </c>
      <c r="F58" s="17">
        <v>477</v>
      </c>
      <c r="G58" s="18">
        <f t="shared" si="26"/>
        <v>98.55371900826447</v>
      </c>
      <c r="H58" s="19">
        <f t="shared" si="27"/>
        <v>98.55371900826447</v>
      </c>
      <c r="I58" s="15">
        <v>484</v>
      </c>
      <c r="J58" s="16"/>
      <c r="K58" s="16">
        <v>484</v>
      </c>
      <c r="L58" s="17">
        <v>477</v>
      </c>
      <c r="M58" s="18">
        <f t="shared" si="30"/>
        <v>98.55371900826447</v>
      </c>
      <c r="N58" s="19">
        <f t="shared" si="31"/>
        <v>98.55371900826447</v>
      </c>
    </row>
    <row r="59" spans="1:14" ht="13.5" thickBot="1">
      <c r="A59" s="116"/>
      <c r="B59" s="31" t="s">
        <v>69</v>
      </c>
      <c r="C59" s="21">
        <v>226</v>
      </c>
      <c r="D59" s="22"/>
      <c r="E59" s="22">
        <f>200+26</f>
        <v>226</v>
      </c>
      <c r="F59" s="23">
        <f>200+26</f>
        <v>226</v>
      </c>
      <c r="G59" s="24">
        <f t="shared" si="26"/>
        <v>100</v>
      </c>
      <c r="H59" s="25">
        <f t="shared" si="27"/>
        <v>100</v>
      </c>
      <c r="I59" s="21">
        <v>26</v>
      </c>
      <c r="J59" s="22"/>
      <c r="K59" s="22">
        <v>26</v>
      </c>
      <c r="L59" s="23">
        <v>26</v>
      </c>
      <c r="M59" s="24">
        <f t="shared" si="30"/>
        <v>100</v>
      </c>
      <c r="N59" s="25">
        <f t="shared" si="31"/>
        <v>100</v>
      </c>
    </row>
    <row r="60" spans="1:14" s="13" customFormat="1" ht="12.75">
      <c r="A60" s="114" t="s">
        <v>28</v>
      </c>
      <c r="B60" s="38" t="s">
        <v>29</v>
      </c>
      <c r="C60" s="26">
        <f aca="true" t="shared" si="35" ref="C60:L60">SUM(C61:C62)</f>
        <v>650</v>
      </c>
      <c r="D60" s="27">
        <f t="shared" si="35"/>
        <v>0</v>
      </c>
      <c r="E60" s="27">
        <f>SUM(E61:E62)</f>
        <v>650</v>
      </c>
      <c r="F60" s="28">
        <f>SUM(F61:F62)</f>
        <v>639</v>
      </c>
      <c r="G60" s="29">
        <f t="shared" si="26"/>
        <v>98.3076923076923</v>
      </c>
      <c r="H60" s="30">
        <f t="shared" si="27"/>
        <v>98.3076923076923</v>
      </c>
      <c r="I60" s="26">
        <f t="shared" si="35"/>
        <v>450</v>
      </c>
      <c r="J60" s="27">
        <f t="shared" si="35"/>
        <v>0</v>
      </c>
      <c r="K60" s="27">
        <f t="shared" si="35"/>
        <v>450</v>
      </c>
      <c r="L60" s="28">
        <f t="shared" si="35"/>
        <v>447</v>
      </c>
      <c r="M60" s="29">
        <f t="shared" si="30"/>
        <v>99.33333333333333</v>
      </c>
      <c r="N60" s="30">
        <f t="shared" si="31"/>
        <v>99.33333333333333</v>
      </c>
    </row>
    <row r="61" spans="1:14" ht="12.75">
      <c r="A61" s="115"/>
      <c r="B61" s="14" t="s">
        <v>68</v>
      </c>
      <c r="C61" s="15">
        <v>428</v>
      </c>
      <c r="D61" s="16"/>
      <c r="E61" s="16">
        <v>428</v>
      </c>
      <c r="F61" s="17">
        <v>425</v>
      </c>
      <c r="G61" s="18">
        <f t="shared" si="26"/>
        <v>99.29906542056075</v>
      </c>
      <c r="H61" s="19">
        <f t="shared" si="27"/>
        <v>99.29906542056075</v>
      </c>
      <c r="I61" s="15">
        <v>428</v>
      </c>
      <c r="J61" s="16"/>
      <c r="K61" s="16">
        <v>428</v>
      </c>
      <c r="L61" s="17">
        <v>425</v>
      </c>
      <c r="M61" s="18">
        <f t="shared" si="30"/>
        <v>99.29906542056075</v>
      </c>
      <c r="N61" s="19">
        <f t="shared" si="31"/>
        <v>99.29906542056075</v>
      </c>
    </row>
    <row r="62" spans="1:14" ht="13.5" thickBot="1">
      <c r="A62" s="116"/>
      <c r="B62" s="31" t="s">
        <v>69</v>
      </c>
      <c r="C62" s="21">
        <v>222</v>
      </c>
      <c r="D62" s="22"/>
      <c r="E62" s="22">
        <f>200+22</f>
        <v>222</v>
      </c>
      <c r="F62" s="23">
        <f>192+22</f>
        <v>214</v>
      </c>
      <c r="G62" s="24">
        <f t="shared" si="26"/>
        <v>96.3963963963964</v>
      </c>
      <c r="H62" s="25">
        <f t="shared" si="27"/>
        <v>96.3963963963964</v>
      </c>
      <c r="I62" s="21">
        <v>22</v>
      </c>
      <c r="J62" s="22"/>
      <c r="K62" s="22">
        <v>22</v>
      </c>
      <c r="L62" s="23">
        <v>22</v>
      </c>
      <c r="M62" s="24">
        <f t="shared" si="30"/>
        <v>100</v>
      </c>
      <c r="N62" s="25">
        <f t="shared" si="31"/>
        <v>100</v>
      </c>
    </row>
    <row r="63" spans="1:14" s="13" customFormat="1" ht="25.5">
      <c r="A63" s="114" t="s">
        <v>30</v>
      </c>
      <c r="B63" s="91" t="s">
        <v>31</v>
      </c>
      <c r="C63" s="7">
        <f aca="true" t="shared" si="36" ref="C63:L63">SUM(C64:C65)</f>
        <v>650</v>
      </c>
      <c r="D63" s="8">
        <f t="shared" si="36"/>
        <v>0</v>
      </c>
      <c r="E63" s="8">
        <f>SUM(E64:E65)</f>
        <v>650</v>
      </c>
      <c r="F63" s="9">
        <f>SUM(F64:F65)</f>
        <v>637</v>
      </c>
      <c r="G63" s="10">
        <f t="shared" si="26"/>
        <v>98</v>
      </c>
      <c r="H63" s="11">
        <f t="shared" si="27"/>
        <v>98</v>
      </c>
      <c r="I63" s="7">
        <f t="shared" si="36"/>
        <v>450</v>
      </c>
      <c r="J63" s="8">
        <f t="shared" si="36"/>
        <v>0</v>
      </c>
      <c r="K63" s="8">
        <f t="shared" si="36"/>
        <v>450</v>
      </c>
      <c r="L63" s="9">
        <f t="shared" si="36"/>
        <v>446</v>
      </c>
      <c r="M63" s="10">
        <f t="shared" si="30"/>
        <v>99.11111111111111</v>
      </c>
      <c r="N63" s="11">
        <f t="shared" si="31"/>
        <v>99.11111111111111</v>
      </c>
    </row>
    <row r="64" spans="1:14" ht="12.75">
      <c r="A64" s="115"/>
      <c r="B64" s="14" t="s">
        <v>68</v>
      </c>
      <c r="C64" s="15">
        <v>427</v>
      </c>
      <c r="D64" s="16"/>
      <c r="E64" s="16">
        <v>427</v>
      </c>
      <c r="F64" s="17">
        <v>423</v>
      </c>
      <c r="G64" s="18">
        <f t="shared" si="26"/>
        <v>99.06323185011709</v>
      </c>
      <c r="H64" s="19">
        <f t="shared" si="27"/>
        <v>99.06323185011709</v>
      </c>
      <c r="I64" s="15">
        <v>427</v>
      </c>
      <c r="J64" s="16"/>
      <c r="K64" s="16">
        <v>427</v>
      </c>
      <c r="L64" s="17">
        <v>423</v>
      </c>
      <c r="M64" s="18">
        <f t="shared" si="30"/>
        <v>99.06323185011709</v>
      </c>
      <c r="N64" s="19">
        <f t="shared" si="31"/>
        <v>99.06323185011709</v>
      </c>
    </row>
    <row r="65" spans="1:14" ht="13.5" thickBot="1">
      <c r="A65" s="116"/>
      <c r="B65" s="31" t="s">
        <v>69</v>
      </c>
      <c r="C65" s="21">
        <v>223</v>
      </c>
      <c r="D65" s="22"/>
      <c r="E65" s="22">
        <f>200+23</f>
        <v>223</v>
      </c>
      <c r="F65" s="23">
        <f>191+23</f>
        <v>214</v>
      </c>
      <c r="G65" s="24">
        <f t="shared" si="26"/>
        <v>95.96412556053812</v>
      </c>
      <c r="H65" s="25">
        <f t="shared" si="27"/>
        <v>95.96412556053812</v>
      </c>
      <c r="I65" s="21">
        <v>23</v>
      </c>
      <c r="J65" s="22"/>
      <c r="K65" s="22">
        <v>23</v>
      </c>
      <c r="L65" s="23">
        <v>23</v>
      </c>
      <c r="M65" s="24">
        <f t="shared" si="30"/>
        <v>100</v>
      </c>
      <c r="N65" s="25">
        <f t="shared" si="31"/>
        <v>100</v>
      </c>
    </row>
    <row r="66" spans="1:14" ht="25.5">
      <c r="A66" s="117">
        <v>2</v>
      </c>
      <c r="B66" s="79" t="s">
        <v>81</v>
      </c>
      <c r="C66" s="89">
        <f>C67+C68</f>
        <v>276219</v>
      </c>
      <c r="D66" s="61">
        <f>D67+D68</f>
        <v>0</v>
      </c>
      <c r="E66" s="76">
        <f>E67+E68</f>
        <v>272978</v>
      </c>
      <c r="F66" s="76">
        <f>F67+F68</f>
        <v>272606</v>
      </c>
      <c r="G66" s="62">
        <f t="shared" si="26"/>
        <v>98.69197991448814</v>
      </c>
      <c r="H66" s="63">
        <f>F66*100/E66</f>
        <v>99.86372528189085</v>
      </c>
      <c r="I66" s="84">
        <f>I67+I68</f>
        <v>40926</v>
      </c>
      <c r="J66" s="76">
        <f>J67+J68</f>
        <v>0</v>
      </c>
      <c r="K66" s="76">
        <f>K67+K68</f>
        <v>40926</v>
      </c>
      <c r="L66" s="76">
        <f>L67+L68</f>
        <v>40921</v>
      </c>
      <c r="M66" s="62">
        <f>L66*100/(I66+J66)</f>
        <v>99.98778282754239</v>
      </c>
      <c r="N66" s="63">
        <f>L66*100/K66</f>
        <v>99.98778282754239</v>
      </c>
    </row>
    <row r="67" spans="1:14" ht="15">
      <c r="A67" s="118"/>
      <c r="B67" s="80" t="s">
        <v>68</v>
      </c>
      <c r="C67" s="85">
        <f aca="true" t="shared" si="37" ref="C67:F68">C70+C79+C88+C97+C100+C103+C106+C109+C91+C94+C118+C121+C124</f>
        <v>26541</v>
      </c>
      <c r="D67" s="77">
        <f t="shared" si="37"/>
        <v>0</v>
      </c>
      <c r="E67" s="77">
        <f t="shared" si="37"/>
        <v>26541</v>
      </c>
      <c r="F67" s="77">
        <f t="shared" si="37"/>
        <v>26540</v>
      </c>
      <c r="G67" s="64">
        <f t="shared" si="26"/>
        <v>99.99623224445197</v>
      </c>
      <c r="H67" s="65">
        <f>F67*100/E67</f>
        <v>99.99623224445197</v>
      </c>
      <c r="I67" s="85">
        <f aca="true" t="shared" si="38" ref="I67:L68">I70+I79+I88+I97+I100+I103+I106+I109+I91+I94+I118+I121+I124</f>
        <v>26541</v>
      </c>
      <c r="J67" s="77">
        <f t="shared" si="38"/>
        <v>0</v>
      </c>
      <c r="K67" s="77">
        <f t="shared" si="38"/>
        <v>26541</v>
      </c>
      <c r="L67" s="77">
        <f t="shared" si="38"/>
        <v>26540</v>
      </c>
      <c r="M67" s="64">
        <f>L67*100/(I67+J67)</f>
        <v>99.99623224445197</v>
      </c>
      <c r="N67" s="65">
        <f>L67*100/K67</f>
        <v>99.99623224445197</v>
      </c>
    </row>
    <row r="68" spans="1:14" ht="15.75" thickBot="1">
      <c r="A68" s="119"/>
      <c r="B68" s="81" t="s">
        <v>69</v>
      </c>
      <c r="C68" s="86">
        <f t="shared" si="37"/>
        <v>249678</v>
      </c>
      <c r="D68" s="78">
        <f t="shared" si="37"/>
        <v>0</v>
      </c>
      <c r="E68" s="78">
        <f t="shared" si="37"/>
        <v>246437</v>
      </c>
      <c r="F68" s="78">
        <f t="shared" si="37"/>
        <v>246066</v>
      </c>
      <c r="G68" s="66">
        <f t="shared" si="26"/>
        <v>98.5533366976666</v>
      </c>
      <c r="H68" s="67">
        <f>F68*100/E68</f>
        <v>99.84945442445736</v>
      </c>
      <c r="I68" s="86">
        <f t="shared" si="38"/>
        <v>14385</v>
      </c>
      <c r="J68" s="78">
        <f t="shared" si="38"/>
        <v>0</v>
      </c>
      <c r="K68" s="78">
        <f t="shared" si="38"/>
        <v>14385</v>
      </c>
      <c r="L68" s="78">
        <f t="shared" si="38"/>
        <v>14381</v>
      </c>
      <c r="M68" s="66">
        <f>L68*100/(I68+J68)</f>
        <v>99.97219325686478</v>
      </c>
      <c r="N68" s="67">
        <f>L68*100/K68</f>
        <v>99.97219325686478</v>
      </c>
    </row>
    <row r="69" spans="1:14" ht="12.75">
      <c r="A69" s="114" t="s">
        <v>32</v>
      </c>
      <c r="B69" s="59" t="s">
        <v>82</v>
      </c>
      <c r="C69" s="26">
        <f>SUM(C70:C71)</f>
        <v>142200</v>
      </c>
      <c r="D69" s="27">
        <f>SUM(D70:D71)</f>
        <v>0</v>
      </c>
      <c r="E69" s="27">
        <f>SUM(E70:E71)</f>
        <v>138959</v>
      </c>
      <c r="F69" s="28">
        <f>SUM(F70:F71)</f>
        <v>138958</v>
      </c>
      <c r="G69" s="29">
        <f t="shared" si="26"/>
        <v>97.72011251758087</v>
      </c>
      <c r="H69" s="30">
        <f>F69*100/E69</f>
        <v>99.99928036327262</v>
      </c>
      <c r="I69" s="26">
        <f>SUM(I70:I71)</f>
        <v>0</v>
      </c>
      <c r="J69" s="27">
        <f>SUM(J70:J71)</f>
        <v>0</v>
      </c>
      <c r="K69" s="27">
        <f>SUM(K70:K71)</f>
        <v>0</v>
      </c>
      <c r="L69" s="28">
        <f>SUM(L70:L71)</f>
        <v>0</v>
      </c>
      <c r="M69" s="29"/>
      <c r="N69" s="30"/>
    </row>
    <row r="70" spans="1:14" ht="12.75">
      <c r="A70" s="115"/>
      <c r="B70" s="14" t="s">
        <v>68</v>
      </c>
      <c r="C70" s="57">
        <f aca="true" t="shared" si="39" ref="C70:F71">C73+C76</f>
        <v>0</v>
      </c>
      <c r="D70" s="16">
        <f t="shared" si="39"/>
        <v>0</v>
      </c>
      <c r="E70" s="16">
        <f t="shared" si="39"/>
        <v>0</v>
      </c>
      <c r="F70" s="16">
        <f t="shared" si="39"/>
        <v>0</v>
      </c>
      <c r="G70" s="18"/>
      <c r="H70" s="19"/>
      <c r="I70" s="15">
        <f aca="true" t="shared" si="40" ref="I70:L71">I73+I76</f>
        <v>0</v>
      </c>
      <c r="J70" s="16">
        <f t="shared" si="40"/>
        <v>0</v>
      </c>
      <c r="K70" s="16">
        <f t="shared" si="40"/>
        <v>0</v>
      </c>
      <c r="L70" s="16">
        <f t="shared" si="40"/>
        <v>0</v>
      </c>
      <c r="M70" s="18"/>
      <c r="N70" s="19"/>
    </row>
    <row r="71" spans="1:14" ht="13.5" thickBot="1">
      <c r="A71" s="116"/>
      <c r="B71" s="31" t="s">
        <v>69</v>
      </c>
      <c r="C71" s="58">
        <f t="shared" si="39"/>
        <v>142200</v>
      </c>
      <c r="D71" s="23">
        <f t="shared" si="39"/>
        <v>0</v>
      </c>
      <c r="E71" s="23">
        <f t="shared" si="39"/>
        <v>138959</v>
      </c>
      <c r="F71" s="23">
        <f t="shared" si="39"/>
        <v>138958</v>
      </c>
      <c r="G71" s="39">
        <f>F71*100/(C71+D71)</f>
        <v>97.72011251758087</v>
      </c>
      <c r="H71" s="87">
        <f aca="true" t="shared" si="41" ref="H71:H85">F71*100/E71</f>
        <v>99.99928036327262</v>
      </c>
      <c r="I71" s="58">
        <f t="shared" si="40"/>
        <v>0</v>
      </c>
      <c r="J71" s="23">
        <f t="shared" si="40"/>
        <v>0</v>
      </c>
      <c r="K71" s="23">
        <f t="shared" si="40"/>
        <v>0</v>
      </c>
      <c r="L71" s="23">
        <f t="shared" si="40"/>
        <v>0</v>
      </c>
      <c r="M71" s="24"/>
      <c r="N71" s="25"/>
    </row>
    <row r="72" spans="1:14" ht="27">
      <c r="A72" s="123" t="s">
        <v>33</v>
      </c>
      <c r="B72" s="41" t="s">
        <v>83</v>
      </c>
      <c r="C72" s="42">
        <f>SUM(C73:C74)</f>
        <v>141000</v>
      </c>
      <c r="D72" s="43">
        <f>SUM(D73:D74)</f>
        <v>0</v>
      </c>
      <c r="E72" s="43">
        <f>SUM(E73:E74)</f>
        <v>137803</v>
      </c>
      <c r="F72" s="44">
        <f>SUM(F73:F74)</f>
        <v>137802</v>
      </c>
      <c r="G72" s="45">
        <f>F72*100/(C72+D72)</f>
        <v>97.73191489361702</v>
      </c>
      <c r="H72" s="46">
        <f t="shared" si="41"/>
        <v>99.99927432639348</v>
      </c>
      <c r="I72" s="42">
        <f>SUM(I73:I74)</f>
        <v>0</v>
      </c>
      <c r="J72" s="43">
        <f>SUM(J73:J74)</f>
        <v>0</v>
      </c>
      <c r="K72" s="43">
        <f>SUM(K73:K74)</f>
        <v>0</v>
      </c>
      <c r="L72" s="44">
        <f>SUM(L73:L74)</f>
        <v>0</v>
      </c>
      <c r="M72" s="45"/>
      <c r="N72" s="46"/>
    </row>
    <row r="73" spans="1:14" ht="12.75">
      <c r="A73" s="124"/>
      <c r="B73" s="14" t="s">
        <v>68</v>
      </c>
      <c r="C73" s="47"/>
      <c r="D73" s="48"/>
      <c r="E73" s="48"/>
      <c r="F73" s="49"/>
      <c r="G73" s="50"/>
      <c r="H73" s="51"/>
      <c r="I73" s="47"/>
      <c r="J73" s="48"/>
      <c r="K73" s="48"/>
      <c r="L73" s="49"/>
      <c r="M73" s="50"/>
      <c r="N73" s="51"/>
    </row>
    <row r="74" spans="1:14" ht="13.5" thickBot="1">
      <c r="A74" s="125"/>
      <c r="B74" s="31" t="s">
        <v>69</v>
      </c>
      <c r="C74" s="52">
        <v>141000</v>
      </c>
      <c r="D74" s="53"/>
      <c r="E74" s="53">
        <f>27600+110203</f>
        <v>137803</v>
      </c>
      <c r="F74" s="54">
        <f>27599+110203</f>
        <v>137802</v>
      </c>
      <c r="G74" s="55">
        <f>F74*100/(C74+D74)</f>
        <v>97.73191489361702</v>
      </c>
      <c r="H74" s="56">
        <f t="shared" si="41"/>
        <v>99.99927432639348</v>
      </c>
      <c r="I74" s="52"/>
      <c r="J74" s="53"/>
      <c r="K74" s="53"/>
      <c r="L74" s="54"/>
      <c r="M74" s="55"/>
      <c r="N74" s="56"/>
    </row>
    <row r="75" spans="1:14" ht="27">
      <c r="A75" s="123" t="s">
        <v>34</v>
      </c>
      <c r="B75" s="41" t="s">
        <v>35</v>
      </c>
      <c r="C75" s="42">
        <f>SUM(C76:C77)</f>
        <v>1200</v>
      </c>
      <c r="D75" s="43">
        <f>SUM(D76:D77)</f>
        <v>0</v>
      </c>
      <c r="E75" s="43">
        <f>SUM(E76:E77)</f>
        <v>1156</v>
      </c>
      <c r="F75" s="44">
        <f>SUM(F76:F77)</f>
        <v>1156</v>
      </c>
      <c r="G75" s="45">
        <f>F75*100/(C75+D75)</f>
        <v>96.33333333333333</v>
      </c>
      <c r="H75" s="46">
        <f t="shared" si="41"/>
        <v>100</v>
      </c>
      <c r="I75" s="42">
        <f>SUM(I76:I77)</f>
        <v>0</v>
      </c>
      <c r="J75" s="43">
        <f>SUM(J76:J77)</f>
        <v>0</v>
      </c>
      <c r="K75" s="43">
        <f>SUM(K76:K77)</f>
        <v>0</v>
      </c>
      <c r="L75" s="44">
        <f>SUM(L76:L77)</f>
        <v>0</v>
      </c>
      <c r="M75" s="45"/>
      <c r="N75" s="46"/>
    </row>
    <row r="76" spans="1:14" ht="12.75">
      <c r="A76" s="124"/>
      <c r="B76" s="14" t="s">
        <v>68</v>
      </c>
      <c r="C76" s="47"/>
      <c r="D76" s="48"/>
      <c r="E76" s="48"/>
      <c r="F76" s="49"/>
      <c r="G76" s="50"/>
      <c r="H76" s="51"/>
      <c r="I76" s="47"/>
      <c r="J76" s="48"/>
      <c r="K76" s="48"/>
      <c r="L76" s="49"/>
      <c r="M76" s="50"/>
      <c r="N76" s="51"/>
    </row>
    <row r="77" spans="1:14" ht="13.5" thickBot="1">
      <c r="A77" s="125"/>
      <c r="B77" s="31" t="s">
        <v>69</v>
      </c>
      <c r="C77" s="52">
        <v>1200</v>
      </c>
      <c r="D77" s="53"/>
      <c r="E77" s="53">
        <v>1156</v>
      </c>
      <c r="F77" s="54">
        <v>1156</v>
      </c>
      <c r="G77" s="55">
        <f>F77*100/(C77+D77)</f>
        <v>96.33333333333333</v>
      </c>
      <c r="H77" s="56">
        <f t="shared" si="41"/>
        <v>100</v>
      </c>
      <c r="I77" s="52"/>
      <c r="J77" s="53"/>
      <c r="K77" s="53"/>
      <c r="L77" s="54"/>
      <c r="M77" s="55"/>
      <c r="N77" s="56"/>
    </row>
    <row r="78" spans="1:14" ht="12.75">
      <c r="A78" s="114" t="s">
        <v>36</v>
      </c>
      <c r="B78" s="60" t="s">
        <v>84</v>
      </c>
      <c r="C78" s="26">
        <f>SUM(C79:C80)</f>
        <v>8807</v>
      </c>
      <c r="D78" s="72">
        <f>SUM(D79:D80)</f>
        <v>0</v>
      </c>
      <c r="E78" s="27">
        <f>SUM(E79:E80)</f>
        <v>8807</v>
      </c>
      <c r="F78" s="73">
        <f>SUM(F79:F80)</f>
        <v>8807</v>
      </c>
      <c r="G78" s="29">
        <f>F78*100/(C78+D78)</f>
        <v>100</v>
      </c>
      <c r="H78" s="30">
        <f t="shared" si="41"/>
        <v>100</v>
      </c>
      <c r="I78" s="26">
        <f>SUM(I79:I80)</f>
        <v>1337</v>
      </c>
      <c r="J78" s="72">
        <f>SUM(J79:J80)</f>
        <v>0</v>
      </c>
      <c r="K78" s="27">
        <f>SUM(K79:K80)</f>
        <v>1337</v>
      </c>
      <c r="L78" s="73">
        <f>SUM(L79:L80)</f>
        <v>1337</v>
      </c>
      <c r="M78" s="29">
        <f>L78*100/(I78+J78)</f>
        <v>100</v>
      </c>
      <c r="N78" s="30">
        <f>L78*100/K78</f>
        <v>100</v>
      </c>
    </row>
    <row r="79" spans="1:14" ht="12.75">
      <c r="A79" s="115"/>
      <c r="B79" s="14" t="s">
        <v>68</v>
      </c>
      <c r="C79" s="57">
        <f aca="true" t="shared" si="42" ref="C79:F80">C82+C85</f>
        <v>1270</v>
      </c>
      <c r="D79" s="57">
        <f t="shared" si="42"/>
        <v>0</v>
      </c>
      <c r="E79" s="16">
        <f t="shared" si="42"/>
        <v>1270</v>
      </c>
      <c r="F79" s="74">
        <f t="shared" si="42"/>
        <v>1270</v>
      </c>
      <c r="G79" s="18">
        <f>F79*100/(C79+D79)</f>
        <v>100</v>
      </c>
      <c r="H79" s="19">
        <f t="shared" si="41"/>
        <v>100</v>
      </c>
      <c r="I79" s="57">
        <f aca="true" t="shared" si="43" ref="I79:L80">I82+I85</f>
        <v>1270</v>
      </c>
      <c r="J79" s="57">
        <f t="shared" si="43"/>
        <v>0</v>
      </c>
      <c r="K79" s="16">
        <f t="shared" si="43"/>
        <v>1270</v>
      </c>
      <c r="L79" s="74">
        <f t="shared" si="43"/>
        <v>1270</v>
      </c>
      <c r="M79" s="18">
        <f>L79*100/(I79+J79)</f>
        <v>100</v>
      </c>
      <c r="N79" s="19">
        <f>L79*100/K79</f>
        <v>100</v>
      </c>
    </row>
    <row r="80" spans="1:14" ht="13.5" thickBot="1">
      <c r="A80" s="116"/>
      <c r="B80" s="31" t="s">
        <v>69</v>
      </c>
      <c r="C80" s="58">
        <f t="shared" si="42"/>
        <v>7537</v>
      </c>
      <c r="D80" s="58">
        <f t="shared" si="42"/>
        <v>0</v>
      </c>
      <c r="E80" s="22">
        <f t="shared" si="42"/>
        <v>7537</v>
      </c>
      <c r="F80" s="75">
        <f t="shared" si="42"/>
        <v>7537</v>
      </c>
      <c r="G80" s="24">
        <f>F80*100/(C80+D80)</f>
        <v>100</v>
      </c>
      <c r="H80" s="25">
        <f t="shared" si="41"/>
        <v>100</v>
      </c>
      <c r="I80" s="58">
        <f t="shared" si="43"/>
        <v>67</v>
      </c>
      <c r="J80" s="58">
        <f t="shared" si="43"/>
        <v>0</v>
      </c>
      <c r="K80" s="22">
        <f t="shared" si="43"/>
        <v>67</v>
      </c>
      <c r="L80" s="75">
        <f t="shared" si="43"/>
        <v>67</v>
      </c>
      <c r="M80" s="24">
        <f>L80*100/(I80+J80)</f>
        <v>100</v>
      </c>
      <c r="N80" s="25">
        <f>L80*100/K80</f>
        <v>100</v>
      </c>
    </row>
    <row r="81" spans="1:14" ht="40.5">
      <c r="A81" s="120" t="s">
        <v>37</v>
      </c>
      <c r="B81" s="41" t="s">
        <v>38</v>
      </c>
      <c r="C81" s="42">
        <f>SUM(C82:C83)</f>
        <v>6680</v>
      </c>
      <c r="D81" s="43">
        <f>SUM(D82:D83)</f>
        <v>0</v>
      </c>
      <c r="E81" s="43">
        <f>SUM(E82:E83)</f>
        <v>6680</v>
      </c>
      <c r="F81" s="44">
        <f>SUM(F82:F83)</f>
        <v>6680</v>
      </c>
      <c r="G81" s="45">
        <f>F81*100/(C81+D81)</f>
        <v>100</v>
      </c>
      <c r="H81" s="46">
        <f t="shared" si="41"/>
        <v>100</v>
      </c>
      <c r="I81" s="42">
        <f>SUM(I82:I83)</f>
        <v>0</v>
      </c>
      <c r="J81" s="43">
        <f>SUM(J82:J83)</f>
        <v>0</v>
      </c>
      <c r="K81" s="43">
        <f>SUM(K82:K83)</f>
        <v>0</v>
      </c>
      <c r="L81" s="44">
        <f>SUM(L82:L83)</f>
        <v>0</v>
      </c>
      <c r="M81" s="45"/>
      <c r="N81" s="46"/>
    </row>
    <row r="82" spans="1:14" ht="12.75">
      <c r="A82" s="121"/>
      <c r="B82" s="14" t="s">
        <v>68</v>
      </c>
      <c r="C82" s="47"/>
      <c r="D82" s="48"/>
      <c r="E82" s="48"/>
      <c r="F82" s="49"/>
      <c r="G82" s="50"/>
      <c r="H82" s="51"/>
      <c r="I82" s="47"/>
      <c r="J82" s="48"/>
      <c r="K82" s="48"/>
      <c r="L82" s="49"/>
      <c r="M82" s="50"/>
      <c r="N82" s="51"/>
    </row>
    <row r="83" spans="1:14" ht="13.5" thickBot="1">
      <c r="A83" s="122"/>
      <c r="B83" s="31" t="s">
        <v>69</v>
      </c>
      <c r="C83" s="52">
        <v>6680</v>
      </c>
      <c r="D83" s="53"/>
      <c r="E83" s="53">
        <v>6680</v>
      </c>
      <c r="F83" s="54">
        <v>6680</v>
      </c>
      <c r="G83" s="55">
        <f>F83*100/(C83+D83)</f>
        <v>100</v>
      </c>
      <c r="H83" s="56">
        <f t="shared" si="41"/>
        <v>100</v>
      </c>
      <c r="I83" s="52"/>
      <c r="J83" s="53"/>
      <c r="K83" s="53"/>
      <c r="L83" s="54"/>
      <c r="M83" s="55"/>
      <c r="N83" s="56"/>
    </row>
    <row r="84" spans="1:14" ht="27">
      <c r="A84" s="120" t="s">
        <v>39</v>
      </c>
      <c r="B84" s="41" t="s">
        <v>85</v>
      </c>
      <c r="C84" s="42">
        <f>SUM(C85:C86)</f>
        <v>2127</v>
      </c>
      <c r="D84" s="43">
        <f>SUM(D85:D86)</f>
        <v>0</v>
      </c>
      <c r="E84" s="43">
        <f>SUM(E85:E86)</f>
        <v>2127</v>
      </c>
      <c r="F84" s="44">
        <f>SUM(F85:F86)</f>
        <v>2127</v>
      </c>
      <c r="G84" s="45">
        <f>F84*100/(C84+D84)</f>
        <v>100</v>
      </c>
      <c r="H84" s="46">
        <f t="shared" si="41"/>
        <v>100</v>
      </c>
      <c r="I84" s="42">
        <f>SUM(I85:I86)</f>
        <v>1337</v>
      </c>
      <c r="J84" s="43">
        <f>SUM(J85:J86)</f>
        <v>0</v>
      </c>
      <c r="K84" s="43">
        <f>SUM(K85:K86)</f>
        <v>1337</v>
      </c>
      <c r="L84" s="44">
        <f>SUM(L85:L86)</f>
        <v>1337</v>
      </c>
      <c r="M84" s="45">
        <f>L84*100/(I84+J84)</f>
        <v>100</v>
      </c>
      <c r="N84" s="46">
        <f>L84*100/K84</f>
        <v>100</v>
      </c>
    </row>
    <row r="85" spans="1:14" ht="12.75">
      <c r="A85" s="121"/>
      <c r="B85" s="14" t="s">
        <v>68</v>
      </c>
      <c r="C85" s="47">
        <v>1270</v>
      </c>
      <c r="D85" s="48"/>
      <c r="E85" s="48">
        <v>1270</v>
      </c>
      <c r="F85" s="49">
        <v>1270</v>
      </c>
      <c r="G85" s="50">
        <f>F85*100/(C85+D85)</f>
        <v>100</v>
      </c>
      <c r="H85" s="51">
        <f t="shared" si="41"/>
        <v>100</v>
      </c>
      <c r="I85" s="47">
        <v>1270</v>
      </c>
      <c r="J85" s="48"/>
      <c r="K85" s="48">
        <v>1270</v>
      </c>
      <c r="L85" s="49">
        <v>1270</v>
      </c>
      <c r="M85" s="50">
        <f>L85*100/(I85+J85)</f>
        <v>100</v>
      </c>
      <c r="N85" s="51">
        <f>L85*100/K85</f>
        <v>100</v>
      </c>
    </row>
    <row r="86" spans="1:14" ht="13.5" thickBot="1">
      <c r="A86" s="122"/>
      <c r="B86" s="31" t="s">
        <v>69</v>
      </c>
      <c r="C86" s="52">
        <v>857</v>
      </c>
      <c r="D86" s="53"/>
      <c r="E86" s="53">
        <f>790+67</f>
        <v>857</v>
      </c>
      <c r="F86" s="54">
        <f>790+67</f>
        <v>857</v>
      </c>
      <c r="G86" s="68">
        <f>F86*100/(C86+D86)</f>
        <v>100</v>
      </c>
      <c r="H86" s="90">
        <f>F86*100/E86</f>
        <v>100</v>
      </c>
      <c r="I86" s="52">
        <v>67</v>
      </c>
      <c r="J86" s="53"/>
      <c r="K86" s="53">
        <v>67</v>
      </c>
      <c r="L86" s="54">
        <v>67</v>
      </c>
      <c r="M86" s="55">
        <f>L86*100/(I86+J86)</f>
        <v>100</v>
      </c>
      <c r="N86" s="56">
        <f>L86*100/K86</f>
        <v>100</v>
      </c>
    </row>
    <row r="87" spans="1:14" ht="24">
      <c r="A87" s="114" t="s">
        <v>40</v>
      </c>
      <c r="B87" s="83" t="s">
        <v>86</v>
      </c>
      <c r="C87" s="26">
        <f>SUM(C88:C89)</f>
        <v>3200</v>
      </c>
      <c r="D87" s="27">
        <f>SUM(D88:D89)</f>
        <v>0</v>
      </c>
      <c r="E87" s="27">
        <f>SUM(E88:E89)</f>
        <v>3200</v>
      </c>
      <c r="F87" s="28">
        <f>SUM(F88:F89)</f>
        <v>3200</v>
      </c>
      <c r="G87" s="29">
        <f>F87*100/(C87+D87)</f>
        <v>100</v>
      </c>
      <c r="H87" s="30">
        <f>F87*100/E87</f>
        <v>100</v>
      </c>
      <c r="I87" s="26">
        <f>SUM(I88:I89)</f>
        <v>44</v>
      </c>
      <c r="J87" s="27">
        <f>SUM(J88:J89)</f>
        <v>0</v>
      </c>
      <c r="K87" s="27">
        <f>SUM(K88:K89)</f>
        <v>44</v>
      </c>
      <c r="L87" s="28">
        <f>SUM(L88:L89)</f>
        <v>44</v>
      </c>
      <c r="M87" s="29">
        <f aca="true" t="shared" si="44" ref="M87:M113">L87*100/(I87+J87)</f>
        <v>100</v>
      </c>
      <c r="N87" s="30">
        <f aca="true" t="shared" si="45" ref="N87:N113">L87*100/K87</f>
        <v>100</v>
      </c>
    </row>
    <row r="88" spans="1:14" ht="12.75">
      <c r="A88" s="115"/>
      <c r="B88" s="14" t="s">
        <v>68</v>
      </c>
      <c r="C88" s="57"/>
      <c r="D88" s="17"/>
      <c r="E88" s="16"/>
      <c r="F88" s="17"/>
      <c r="G88" s="18"/>
      <c r="H88" s="19"/>
      <c r="I88" s="15"/>
      <c r="J88" s="16"/>
      <c r="K88" s="16"/>
      <c r="L88" s="17"/>
      <c r="M88" s="18"/>
      <c r="N88" s="19"/>
    </row>
    <row r="89" spans="1:14" ht="13.5" thickBot="1">
      <c r="A89" s="116"/>
      <c r="B89" s="31" t="s">
        <v>69</v>
      </c>
      <c r="C89" s="58">
        <v>3200</v>
      </c>
      <c r="D89" s="23"/>
      <c r="E89" s="22">
        <f>3156+44</f>
        <v>3200</v>
      </c>
      <c r="F89" s="23">
        <f>3156+44</f>
        <v>3200</v>
      </c>
      <c r="G89" s="24">
        <f>F89*100/(C89+D89)</f>
        <v>100</v>
      </c>
      <c r="H89" s="25">
        <f>F89*100/E89</f>
        <v>100</v>
      </c>
      <c r="I89" s="21">
        <v>44</v>
      </c>
      <c r="J89" s="22"/>
      <c r="K89" s="22">
        <v>44</v>
      </c>
      <c r="L89" s="23">
        <v>44</v>
      </c>
      <c r="M89" s="24">
        <f t="shared" si="44"/>
        <v>100</v>
      </c>
      <c r="N89" s="25">
        <f t="shared" si="45"/>
        <v>100</v>
      </c>
    </row>
    <row r="90" spans="1:14" ht="25.5">
      <c r="A90" s="114" t="s">
        <v>41</v>
      </c>
      <c r="B90" s="59" t="s">
        <v>87</v>
      </c>
      <c r="C90" s="26">
        <f>SUM(C91:C92)</f>
        <v>6241</v>
      </c>
      <c r="D90" s="27">
        <f>SUM(D91:D92)</f>
        <v>0</v>
      </c>
      <c r="E90" s="27">
        <f>SUM(E91:E92)</f>
        <v>6241</v>
      </c>
      <c r="F90" s="28">
        <f>SUM(F91:F92)</f>
        <v>6240</v>
      </c>
      <c r="G90" s="29">
        <f>F90*100/(C90+D90)</f>
        <v>99.98397692677456</v>
      </c>
      <c r="H90" s="30">
        <f>F90*100/E90</f>
        <v>99.98397692677456</v>
      </c>
      <c r="I90" s="26">
        <f>SUM(I91:I92)</f>
        <v>4091</v>
      </c>
      <c r="J90" s="27">
        <f>SUM(J91:J92)</f>
        <v>0</v>
      </c>
      <c r="K90" s="27">
        <f>SUM(K91:K92)</f>
        <v>4091</v>
      </c>
      <c r="L90" s="28">
        <f>SUM(L91:L92)</f>
        <v>4090</v>
      </c>
      <c r="M90" s="29">
        <f t="shared" si="44"/>
        <v>99.97555609875336</v>
      </c>
      <c r="N90" s="30">
        <f t="shared" si="45"/>
        <v>99.97555609875336</v>
      </c>
    </row>
    <row r="91" spans="1:14" ht="12.75">
      <c r="A91" s="115"/>
      <c r="B91" s="14" t="s">
        <v>68</v>
      </c>
      <c r="C91" s="15">
        <v>2000</v>
      </c>
      <c r="D91" s="16"/>
      <c r="E91" s="16">
        <v>2000</v>
      </c>
      <c r="F91" s="17">
        <v>2000</v>
      </c>
      <c r="G91" s="18">
        <f>F91*100/(C91+D91)</f>
        <v>100</v>
      </c>
      <c r="H91" s="19">
        <f>F91*100/E91</f>
        <v>100</v>
      </c>
      <c r="I91" s="15">
        <v>2000</v>
      </c>
      <c r="J91" s="16"/>
      <c r="K91" s="16">
        <v>2000</v>
      </c>
      <c r="L91" s="17">
        <v>2000</v>
      </c>
      <c r="M91" s="18">
        <f t="shared" si="44"/>
        <v>100</v>
      </c>
      <c r="N91" s="19">
        <f t="shared" si="45"/>
        <v>100</v>
      </c>
    </row>
    <row r="92" spans="1:14" ht="13.5" thickBot="1">
      <c r="A92" s="116"/>
      <c r="B92" s="31" t="s">
        <v>69</v>
      </c>
      <c r="C92" s="21">
        <v>4241</v>
      </c>
      <c r="D92" s="22"/>
      <c r="E92" s="22">
        <f>2150+2091</f>
        <v>4241</v>
      </c>
      <c r="F92" s="23">
        <f>2150+2090</f>
        <v>4240</v>
      </c>
      <c r="G92" s="24">
        <f>F92*100/(C92+D92)</f>
        <v>99.97642065550578</v>
      </c>
      <c r="H92" s="25">
        <f aca="true" t="shared" si="46" ref="H92:H113">F92*100/E92</f>
        <v>99.97642065550578</v>
      </c>
      <c r="I92" s="21">
        <v>2091</v>
      </c>
      <c r="J92" s="22"/>
      <c r="K92" s="22">
        <v>2091</v>
      </c>
      <c r="L92" s="23">
        <v>2090</v>
      </c>
      <c r="M92" s="24">
        <f t="shared" si="44"/>
        <v>99.95217599234816</v>
      </c>
      <c r="N92" s="25">
        <f t="shared" si="45"/>
        <v>99.95217599234816</v>
      </c>
    </row>
    <row r="93" spans="1:14" ht="25.5">
      <c r="A93" s="114" t="s">
        <v>42</v>
      </c>
      <c r="B93" s="59" t="s">
        <v>44</v>
      </c>
      <c r="C93" s="26">
        <f>SUM(C94:C95)</f>
        <v>18882</v>
      </c>
      <c r="D93" s="27">
        <f>SUM(D94:D95)</f>
        <v>0</v>
      </c>
      <c r="E93" s="27">
        <f>SUM(E94:E95)</f>
        <v>18882</v>
      </c>
      <c r="F93" s="28">
        <f>SUM(F94:F95)</f>
        <v>18767</v>
      </c>
      <c r="G93" s="29">
        <f>F93*100/(C93+D93)</f>
        <v>99.39095434805635</v>
      </c>
      <c r="H93" s="30">
        <f t="shared" si="46"/>
        <v>99.39095434805635</v>
      </c>
      <c r="I93" s="26">
        <f>SUM(I94:I95)</f>
        <v>52</v>
      </c>
      <c r="J93" s="27">
        <f>SUM(J94:J95)</f>
        <v>0</v>
      </c>
      <c r="K93" s="27">
        <f>SUM(K94:K95)</f>
        <v>52</v>
      </c>
      <c r="L93" s="28">
        <f>SUM(L94:L95)</f>
        <v>52</v>
      </c>
      <c r="M93" s="29">
        <f t="shared" si="44"/>
        <v>100</v>
      </c>
      <c r="N93" s="30">
        <f t="shared" si="45"/>
        <v>100</v>
      </c>
    </row>
    <row r="94" spans="1:14" ht="12.75">
      <c r="A94" s="115"/>
      <c r="B94" s="14" t="s">
        <v>68</v>
      </c>
      <c r="C94" s="15"/>
      <c r="D94" s="16"/>
      <c r="E94" s="16"/>
      <c r="F94" s="17"/>
      <c r="G94" s="18"/>
      <c r="H94" s="19"/>
      <c r="I94" s="15"/>
      <c r="J94" s="16"/>
      <c r="K94" s="16"/>
      <c r="L94" s="17"/>
      <c r="M94" s="18"/>
      <c r="N94" s="19"/>
    </row>
    <row r="95" spans="1:14" ht="13.5" thickBot="1">
      <c r="A95" s="116"/>
      <c r="B95" s="31" t="s">
        <v>69</v>
      </c>
      <c r="C95" s="21">
        <v>18882</v>
      </c>
      <c r="D95" s="22"/>
      <c r="E95" s="22">
        <f>52+45+755+18030</f>
        <v>18882</v>
      </c>
      <c r="F95" s="23">
        <f>52+45+755+17915</f>
        <v>18767</v>
      </c>
      <c r="G95" s="24">
        <f aca="true" t="shared" si="47" ref="G95:G102">F95*100/(C95+D95)</f>
        <v>99.39095434805635</v>
      </c>
      <c r="H95" s="25">
        <f t="shared" si="46"/>
        <v>99.39095434805635</v>
      </c>
      <c r="I95" s="21">
        <v>52</v>
      </c>
      <c r="J95" s="22"/>
      <c r="K95" s="22">
        <v>52</v>
      </c>
      <c r="L95" s="23">
        <v>52</v>
      </c>
      <c r="M95" s="24">
        <f t="shared" si="44"/>
        <v>100</v>
      </c>
      <c r="N95" s="25">
        <f t="shared" si="45"/>
        <v>100</v>
      </c>
    </row>
    <row r="96" spans="1:14" ht="12.75">
      <c r="A96" s="114" t="s">
        <v>43</v>
      </c>
      <c r="B96" s="60" t="s">
        <v>88</v>
      </c>
      <c r="C96" s="26">
        <f>SUM(C97:C98)</f>
        <v>12157</v>
      </c>
      <c r="D96" s="27">
        <f>SUM(D97:D98)</f>
        <v>0</v>
      </c>
      <c r="E96" s="27">
        <f>SUM(E97:E98)</f>
        <v>12157</v>
      </c>
      <c r="F96" s="28">
        <f>SUM(F97:F98)</f>
        <v>12156</v>
      </c>
      <c r="G96" s="29">
        <f t="shared" si="47"/>
        <v>99.99177428641934</v>
      </c>
      <c r="H96" s="30">
        <f t="shared" si="46"/>
        <v>99.99177428641934</v>
      </c>
      <c r="I96" s="26">
        <f>SUM(I97:I98)</f>
        <v>8463</v>
      </c>
      <c r="J96" s="27">
        <f>SUM(J97:J98)</f>
        <v>0</v>
      </c>
      <c r="K96" s="27">
        <f>SUM(K97:K98)</f>
        <v>8463</v>
      </c>
      <c r="L96" s="28">
        <f>SUM(L97:L98)</f>
        <v>8462</v>
      </c>
      <c r="M96" s="29">
        <f t="shared" si="44"/>
        <v>99.9881838591516</v>
      </c>
      <c r="N96" s="30">
        <f t="shared" si="45"/>
        <v>99.9881838591516</v>
      </c>
    </row>
    <row r="97" spans="1:14" ht="12.75">
      <c r="A97" s="115"/>
      <c r="B97" s="14" t="s">
        <v>68</v>
      </c>
      <c r="C97" s="15">
        <v>3000</v>
      </c>
      <c r="D97" s="16"/>
      <c r="E97" s="16">
        <v>3000</v>
      </c>
      <c r="F97" s="17">
        <v>3000</v>
      </c>
      <c r="G97" s="18">
        <f t="shared" si="47"/>
        <v>100</v>
      </c>
      <c r="H97" s="19">
        <f t="shared" si="46"/>
        <v>100</v>
      </c>
      <c r="I97" s="15">
        <v>3000</v>
      </c>
      <c r="J97" s="16"/>
      <c r="K97" s="16">
        <v>3000</v>
      </c>
      <c r="L97" s="17">
        <v>3000</v>
      </c>
      <c r="M97" s="18">
        <f t="shared" si="44"/>
        <v>100</v>
      </c>
      <c r="N97" s="19">
        <f t="shared" si="45"/>
        <v>100</v>
      </c>
    </row>
    <row r="98" spans="1:14" ht="13.5" thickBot="1">
      <c r="A98" s="116"/>
      <c r="B98" s="31" t="s">
        <v>69</v>
      </c>
      <c r="C98" s="21">
        <v>9157</v>
      </c>
      <c r="D98" s="22"/>
      <c r="E98" s="22">
        <f>3694+5463</f>
        <v>9157</v>
      </c>
      <c r="F98" s="23">
        <f>3694+5462</f>
        <v>9156</v>
      </c>
      <c r="G98" s="24">
        <f t="shared" si="47"/>
        <v>99.98907939281425</v>
      </c>
      <c r="H98" s="25">
        <f t="shared" si="46"/>
        <v>99.98907939281425</v>
      </c>
      <c r="I98" s="21">
        <v>5463</v>
      </c>
      <c r="J98" s="22"/>
      <c r="K98" s="22">
        <v>5463</v>
      </c>
      <c r="L98" s="23">
        <v>5462</v>
      </c>
      <c r="M98" s="24">
        <f t="shared" si="44"/>
        <v>99.98169503935567</v>
      </c>
      <c r="N98" s="25">
        <f t="shared" si="45"/>
        <v>99.98169503935567</v>
      </c>
    </row>
    <row r="99" spans="1:14" ht="25.5">
      <c r="A99" s="114" t="s">
        <v>45</v>
      </c>
      <c r="B99" s="69" t="s">
        <v>47</v>
      </c>
      <c r="C99" s="26">
        <f>SUM(C100:C101)</f>
        <v>3337</v>
      </c>
      <c r="D99" s="27">
        <f>SUM(D100:D101)</f>
        <v>0</v>
      </c>
      <c r="E99" s="27">
        <f>SUM(E100:E101)</f>
        <v>3337</v>
      </c>
      <c r="F99" s="28">
        <f>SUM(F100:F101)</f>
        <v>3337</v>
      </c>
      <c r="G99" s="29">
        <f t="shared" si="47"/>
        <v>100</v>
      </c>
      <c r="H99" s="30">
        <f t="shared" si="46"/>
        <v>100</v>
      </c>
      <c r="I99" s="26">
        <f>SUM(I100:I101)</f>
        <v>2527</v>
      </c>
      <c r="J99" s="27">
        <f>SUM(J100:J101)</f>
        <v>0</v>
      </c>
      <c r="K99" s="27">
        <f>SUM(K100:K101)</f>
        <v>2527</v>
      </c>
      <c r="L99" s="28">
        <f>SUM(L100:L101)</f>
        <v>2527</v>
      </c>
      <c r="M99" s="29">
        <f t="shared" si="44"/>
        <v>100</v>
      </c>
      <c r="N99" s="30">
        <f t="shared" si="45"/>
        <v>100</v>
      </c>
    </row>
    <row r="100" spans="1:14" ht="16.5" customHeight="1">
      <c r="A100" s="115"/>
      <c r="B100" s="14" t="s">
        <v>68</v>
      </c>
      <c r="C100" s="15">
        <v>2156</v>
      </c>
      <c r="D100" s="16"/>
      <c r="E100" s="16">
        <v>2156</v>
      </c>
      <c r="F100" s="17">
        <v>2156</v>
      </c>
      <c r="G100" s="18">
        <f t="shared" si="47"/>
        <v>100</v>
      </c>
      <c r="H100" s="19">
        <f t="shared" si="46"/>
        <v>100</v>
      </c>
      <c r="I100" s="15">
        <v>2156</v>
      </c>
      <c r="J100" s="16"/>
      <c r="K100" s="16">
        <v>2156</v>
      </c>
      <c r="L100" s="17">
        <v>2156</v>
      </c>
      <c r="M100" s="18">
        <f t="shared" si="44"/>
        <v>100</v>
      </c>
      <c r="N100" s="19">
        <f t="shared" si="45"/>
        <v>100</v>
      </c>
    </row>
    <row r="101" spans="1:14" ht="16.5" customHeight="1" thickBot="1">
      <c r="A101" s="116"/>
      <c r="B101" s="31" t="s">
        <v>69</v>
      </c>
      <c r="C101" s="21">
        <v>1181</v>
      </c>
      <c r="D101" s="22"/>
      <c r="E101" s="22">
        <f>810+371</f>
        <v>1181</v>
      </c>
      <c r="F101" s="23">
        <f>810+371</f>
        <v>1181</v>
      </c>
      <c r="G101" s="24">
        <f t="shared" si="47"/>
        <v>100</v>
      </c>
      <c r="H101" s="25">
        <f t="shared" si="46"/>
        <v>100</v>
      </c>
      <c r="I101" s="21">
        <v>371</v>
      </c>
      <c r="J101" s="22"/>
      <c r="K101" s="22">
        <v>371</v>
      </c>
      <c r="L101" s="23">
        <v>371</v>
      </c>
      <c r="M101" s="24">
        <f t="shared" si="44"/>
        <v>100</v>
      </c>
      <c r="N101" s="25">
        <f t="shared" si="45"/>
        <v>100</v>
      </c>
    </row>
    <row r="102" spans="1:14" ht="12.75">
      <c r="A102" s="114" t="s">
        <v>46</v>
      </c>
      <c r="B102" s="70" t="s">
        <v>89</v>
      </c>
      <c r="C102" s="26">
        <f>SUM(C103:C104)</f>
        <v>17398</v>
      </c>
      <c r="D102" s="27">
        <f>SUM(D103:D104)</f>
        <v>0</v>
      </c>
      <c r="E102" s="27">
        <f>SUM(E103:E104)</f>
        <v>17398</v>
      </c>
      <c r="F102" s="28">
        <f>SUM(F103:F104)</f>
        <v>17396</v>
      </c>
      <c r="G102" s="29">
        <f t="shared" si="47"/>
        <v>99.98850442579607</v>
      </c>
      <c r="H102" s="30">
        <f t="shared" si="46"/>
        <v>99.98850442579607</v>
      </c>
      <c r="I102" s="26">
        <f>SUM(I103:I104)</f>
        <v>68</v>
      </c>
      <c r="J102" s="27">
        <f>SUM(J103:J104)</f>
        <v>0</v>
      </c>
      <c r="K102" s="27">
        <f>SUM(K103:K104)</f>
        <v>68</v>
      </c>
      <c r="L102" s="28">
        <f>SUM(L103:L104)</f>
        <v>68</v>
      </c>
      <c r="M102" s="29">
        <f t="shared" si="44"/>
        <v>100</v>
      </c>
      <c r="N102" s="30">
        <f t="shared" si="45"/>
        <v>100</v>
      </c>
    </row>
    <row r="103" spans="1:14" ht="15.75" customHeight="1">
      <c r="A103" s="115"/>
      <c r="B103" s="14" t="s">
        <v>68</v>
      </c>
      <c r="C103" s="15"/>
      <c r="D103" s="16"/>
      <c r="E103" s="16"/>
      <c r="F103" s="17"/>
      <c r="G103" s="18"/>
      <c r="H103" s="19"/>
      <c r="I103" s="15"/>
      <c r="J103" s="16"/>
      <c r="K103" s="16"/>
      <c r="L103" s="17"/>
      <c r="M103" s="18"/>
      <c r="N103" s="19"/>
    </row>
    <row r="104" spans="1:14" ht="15.75" customHeight="1" thickBot="1">
      <c r="A104" s="116"/>
      <c r="B104" s="31" t="s">
        <v>69</v>
      </c>
      <c r="C104" s="21">
        <v>17398</v>
      </c>
      <c r="D104" s="22"/>
      <c r="E104" s="22">
        <f>420+68+1770+15140</f>
        <v>17398</v>
      </c>
      <c r="F104" s="23">
        <f>420+68+1770+15138</f>
        <v>17396</v>
      </c>
      <c r="G104" s="24">
        <f>F104*100/(C104+D104)</f>
        <v>99.98850442579607</v>
      </c>
      <c r="H104" s="25">
        <f t="shared" si="46"/>
        <v>99.98850442579607</v>
      </c>
      <c r="I104" s="21">
        <v>68</v>
      </c>
      <c r="J104" s="22"/>
      <c r="K104" s="22">
        <v>68</v>
      </c>
      <c r="L104" s="23">
        <v>68</v>
      </c>
      <c r="M104" s="24">
        <f t="shared" si="44"/>
        <v>100</v>
      </c>
      <c r="N104" s="25">
        <f t="shared" si="45"/>
        <v>100</v>
      </c>
    </row>
    <row r="105" spans="1:14" ht="25.5">
      <c r="A105" s="114" t="s">
        <v>48</v>
      </c>
      <c r="B105" s="60" t="s">
        <v>90</v>
      </c>
      <c r="C105" s="26">
        <f>SUM(C106:C107)</f>
        <v>18577</v>
      </c>
      <c r="D105" s="27">
        <f>SUM(D106:D107)</f>
        <v>0</v>
      </c>
      <c r="E105" s="27">
        <f>SUM(E106:E107)</f>
        <v>18577</v>
      </c>
      <c r="F105" s="28">
        <f>SUM(F106:F107)</f>
        <v>18572</v>
      </c>
      <c r="G105" s="29">
        <f>F105*100/(C105+D105)</f>
        <v>99.97308499757764</v>
      </c>
      <c r="H105" s="30">
        <f t="shared" si="46"/>
        <v>99.97308499757764</v>
      </c>
      <c r="I105" s="26">
        <f>SUM(I106:I107)</f>
        <v>440</v>
      </c>
      <c r="J105" s="27">
        <f>SUM(J106:J107)</f>
        <v>0</v>
      </c>
      <c r="K105" s="27">
        <f>SUM(K106:K107)</f>
        <v>440</v>
      </c>
      <c r="L105" s="28">
        <f>SUM(L106:L107)</f>
        <v>440</v>
      </c>
      <c r="M105" s="29">
        <f t="shared" si="44"/>
        <v>100</v>
      </c>
      <c r="N105" s="30">
        <f t="shared" si="45"/>
        <v>100</v>
      </c>
    </row>
    <row r="106" spans="1:14" ht="15" customHeight="1">
      <c r="A106" s="115"/>
      <c r="B106" s="14" t="s">
        <v>68</v>
      </c>
      <c r="C106" s="15"/>
      <c r="D106" s="16"/>
      <c r="E106" s="16"/>
      <c r="F106" s="17"/>
      <c r="G106" s="18"/>
      <c r="H106" s="19"/>
      <c r="I106" s="15"/>
      <c r="J106" s="16"/>
      <c r="K106" s="16"/>
      <c r="L106" s="17"/>
      <c r="M106" s="18"/>
      <c r="N106" s="19"/>
    </row>
    <row r="107" spans="1:14" ht="15" customHeight="1" thickBot="1">
      <c r="A107" s="116"/>
      <c r="B107" s="31" t="s">
        <v>69</v>
      </c>
      <c r="C107" s="21">
        <v>18577</v>
      </c>
      <c r="D107" s="22"/>
      <c r="E107" s="22">
        <f>75+440+480+17582</f>
        <v>18577</v>
      </c>
      <c r="F107" s="23">
        <f>75+440+480+17577</f>
        <v>18572</v>
      </c>
      <c r="G107" s="24">
        <f aca="true" t="shared" si="48" ref="G107:G125">F107*100/(C107+D107)</f>
        <v>99.97308499757764</v>
      </c>
      <c r="H107" s="25">
        <f t="shared" si="46"/>
        <v>99.97308499757764</v>
      </c>
      <c r="I107" s="21">
        <v>440</v>
      </c>
      <c r="J107" s="22"/>
      <c r="K107" s="22">
        <v>440</v>
      </c>
      <c r="L107" s="23">
        <v>440</v>
      </c>
      <c r="M107" s="24">
        <f t="shared" si="44"/>
        <v>100</v>
      </c>
      <c r="N107" s="25">
        <f t="shared" si="45"/>
        <v>100</v>
      </c>
    </row>
    <row r="108" spans="1:14" ht="12.75">
      <c r="A108" s="114" t="s">
        <v>49</v>
      </c>
      <c r="B108" s="70" t="s">
        <v>91</v>
      </c>
      <c r="C108" s="72">
        <f>SUM(C109:C110)</f>
        <v>32319</v>
      </c>
      <c r="D108" s="28">
        <f>SUM(D109:D110)</f>
        <v>0</v>
      </c>
      <c r="E108" s="28">
        <f>SUM(E109:E110)</f>
        <v>32319</v>
      </c>
      <c r="F108" s="27">
        <f>SUM(F109:F110)</f>
        <v>32083</v>
      </c>
      <c r="G108" s="29">
        <f t="shared" si="48"/>
        <v>99.26977938673845</v>
      </c>
      <c r="H108" s="30">
        <f t="shared" si="46"/>
        <v>99.26977938673845</v>
      </c>
      <c r="I108" s="26">
        <f>SUM(I109:I110)</f>
        <v>15078</v>
      </c>
      <c r="J108" s="72">
        <f>SUM(J109:J110)</f>
        <v>0</v>
      </c>
      <c r="K108" s="28">
        <f>SUM(K109:K110)</f>
        <v>15078</v>
      </c>
      <c r="L108" s="27">
        <f>SUM(L109:L110)</f>
        <v>15078</v>
      </c>
      <c r="M108" s="29">
        <f t="shared" si="44"/>
        <v>100</v>
      </c>
      <c r="N108" s="30">
        <f t="shared" si="45"/>
        <v>100</v>
      </c>
    </row>
    <row r="109" spans="1:14" ht="16.5" customHeight="1">
      <c r="A109" s="115"/>
      <c r="B109" s="14" t="s">
        <v>68</v>
      </c>
      <c r="C109" s="57">
        <f aca="true" t="shared" si="49" ref="C109:F110">C112+C115</f>
        <v>13839</v>
      </c>
      <c r="D109" s="17">
        <f t="shared" si="49"/>
        <v>0</v>
      </c>
      <c r="E109" s="17">
        <f t="shared" si="49"/>
        <v>13839</v>
      </c>
      <c r="F109" s="16">
        <f t="shared" si="49"/>
        <v>13839</v>
      </c>
      <c r="G109" s="18">
        <f t="shared" si="48"/>
        <v>100</v>
      </c>
      <c r="H109" s="19">
        <f t="shared" si="46"/>
        <v>100</v>
      </c>
      <c r="I109" s="57">
        <f aca="true" t="shared" si="50" ref="I109:L110">I112+I115</f>
        <v>13839</v>
      </c>
      <c r="J109" s="57">
        <f t="shared" si="50"/>
        <v>0</v>
      </c>
      <c r="K109" s="17">
        <f t="shared" si="50"/>
        <v>13839</v>
      </c>
      <c r="L109" s="16">
        <f t="shared" si="50"/>
        <v>13839</v>
      </c>
      <c r="M109" s="18">
        <f t="shared" si="44"/>
        <v>100</v>
      </c>
      <c r="N109" s="19">
        <f t="shared" si="45"/>
        <v>100</v>
      </c>
    </row>
    <row r="110" spans="1:14" ht="16.5" customHeight="1" thickBot="1">
      <c r="A110" s="116"/>
      <c r="B110" s="31" t="s">
        <v>69</v>
      </c>
      <c r="C110" s="58">
        <f t="shared" si="49"/>
        <v>18480</v>
      </c>
      <c r="D110" s="23">
        <f t="shared" si="49"/>
        <v>0</v>
      </c>
      <c r="E110" s="23">
        <f t="shared" si="49"/>
        <v>18480</v>
      </c>
      <c r="F110" s="22">
        <f t="shared" si="49"/>
        <v>18244</v>
      </c>
      <c r="G110" s="24">
        <f t="shared" si="48"/>
        <v>98.72294372294373</v>
      </c>
      <c r="H110" s="25">
        <f t="shared" si="46"/>
        <v>98.72294372294373</v>
      </c>
      <c r="I110" s="58">
        <f t="shared" si="50"/>
        <v>1239</v>
      </c>
      <c r="J110" s="58">
        <f t="shared" si="50"/>
        <v>0</v>
      </c>
      <c r="K110" s="23">
        <f t="shared" si="50"/>
        <v>1239</v>
      </c>
      <c r="L110" s="22">
        <f t="shared" si="50"/>
        <v>1239</v>
      </c>
      <c r="M110" s="24">
        <f t="shared" si="44"/>
        <v>100</v>
      </c>
      <c r="N110" s="25">
        <f t="shared" si="45"/>
        <v>100</v>
      </c>
    </row>
    <row r="111" spans="1:14" ht="25.5" customHeight="1">
      <c r="A111" s="120" t="s">
        <v>58</v>
      </c>
      <c r="B111" s="71" t="s">
        <v>52</v>
      </c>
      <c r="C111" s="42">
        <f>SUM(C112:C113)</f>
        <v>31484</v>
      </c>
      <c r="D111" s="43">
        <f>SUM(D112:D113)</f>
        <v>0</v>
      </c>
      <c r="E111" s="43">
        <f>SUM(E112:E113)</f>
        <v>31484</v>
      </c>
      <c r="F111" s="44">
        <f>SUM(F112:F113)</f>
        <v>31484</v>
      </c>
      <c r="G111" s="10">
        <f t="shared" si="48"/>
        <v>100</v>
      </c>
      <c r="H111" s="11">
        <f t="shared" si="46"/>
        <v>100</v>
      </c>
      <c r="I111" s="42">
        <f>SUM(I112:I113)</f>
        <v>14658</v>
      </c>
      <c r="J111" s="43">
        <f>SUM(J112:J113)</f>
        <v>0</v>
      </c>
      <c r="K111" s="43">
        <f>SUM(K112:K113)</f>
        <v>14658</v>
      </c>
      <c r="L111" s="44">
        <f>SUM(L112:L113)</f>
        <v>14658</v>
      </c>
      <c r="M111" s="10">
        <f t="shared" si="44"/>
        <v>100</v>
      </c>
      <c r="N111" s="11">
        <f t="shared" si="45"/>
        <v>100</v>
      </c>
    </row>
    <row r="112" spans="1:14" ht="15.75" customHeight="1">
      <c r="A112" s="121"/>
      <c r="B112" s="14" t="s">
        <v>68</v>
      </c>
      <c r="C112" s="47">
        <v>13440</v>
      </c>
      <c r="D112" s="48"/>
      <c r="E112" s="48">
        <v>13440</v>
      </c>
      <c r="F112" s="49">
        <v>13440</v>
      </c>
      <c r="G112" s="18">
        <f t="shared" si="48"/>
        <v>100</v>
      </c>
      <c r="H112" s="19">
        <f t="shared" si="46"/>
        <v>100</v>
      </c>
      <c r="I112" s="47">
        <v>13440</v>
      </c>
      <c r="J112" s="48"/>
      <c r="K112" s="48">
        <v>13440</v>
      </c>
      <c r="L112" s="49">
        <v>13440</v>
      </c>
      <c r="M112" s="18">
        <f t="shared" si="44"/>
        <v>100</v>
      </c>
      <c r="N112" s="19">
        <f t="shared" si="45"/>
        <v>100</v>
      </c>
    </row>
    <row r="113" spans="1:14" ht="15.75" customHeight="1" thickBot="1">
      <c r="A113" s="122"/>
      <c r="B113" s="31" t="s">
        <v>69</v>
      </c>
      <c r="C113" s="52">
        <v>18044</v>
      </c>
      <c r="D113" s="53"/>
      <c r="E113" s="53">
        <f>150+1218+610+16066</f>
        <v>18044</v>
      </c>
      <c r="F113" s="54">
        <f>150+1218+610+16066</f>
        <v>18044</v>
      </c>
      <c r="G113" s="24">
        <f t="shared" si="48"/>
        <v>100</v>
      </c>
      <c r="H113" s="25">
        <f t="shared" si="46"/>
        <v>100</v>
      </c>
      <c r="I113" s="52">
        <v>1218</v>
      </c>
      <c r="J113" s="53"/>
      <c r="K113" s="53">
        <v>1218</v>
      </c>
      <c r="L113" s="54">
        <v>1218</v>
      </c>
      <c r="M113" s="24">
        <f t="shared" si="44"/>
        <v>100</v>
      </c>
      <c r="N113" s="25">
        <f t="shared" si="45"/>
        <v>100</v>
      </c>
    </row>
    <row r="114" spans="1:14" ht="27">
      <c r="A114" s="120" t="s">
        <v>59</v>
      </c>
      <c r="B114" s="71" t="s">
        <v>53</v>
      </c>
      <c r="C114" s="42">
        <f>SUM(C115:C116)</f>
        <v>835</v>
      </c>
      <c r="D114" s="43">
        <f>SUM(D115:D116)</f>
        <v>0</v>
      </c>
      <c r="E114" s="43">
        <f>SUM(E115:E116)</f>
        <v>835</v>
      </c>
      <c r="F114" s="44">
        <f>SUM(F115:F116)</f>
        <v>599</v>
      </c>
      <c r="G114" s="29">
        <f t="shared" si="48"/>
        <v>71.73652694610779</v>
      </c>
      <c r="H114" s="30">
        <f aca="true" t="shared" si="51" ref="H114:H119">F114*100/E114</f>
        <v>71.73652694610779</v>
      </c>
      <c r="I114" s="42">
        <f>SUM(I115:I116)</f>
        <v>420</v>
      </c>
      <c r="J114" s="43">
        <f>SUM(J115:J116)</f>
        <v>0</v>
      </c>
      <c r="K114" s="43">
        <f>SUM(K115:K116)</f>
        <v>420</v>
      </c>
      <c r="L114" s="44">
        <f>SUM(L115:L116)</f>
        <v>420</v>
      </c>
      <c r="M114" s="29">
        <f aca="true" t="shared" si="52" ref="M114:M119">L114*100/(I114+J114)</f>
        <v>100</v>
      </c>
      <c r="N114" s="30">
        <f aca="true" t="shared" si="53" ref="N114:N119">L114*100/K114</f>
        <v>100</v>
      </c>
    </row>
    <row r="115" spans="1:14" ht="15.75" customHeight="1">
      <c r="A115" s="121"/>
      <c r="B115" s="14" t="s">
        <v>68</v>
      </c>
      <c r="C115" s="47">
        <v>399</v>
      </c>
      <c r="D115" s="48"/>
      <c r="E115" s="48">
        <v>399</v>
      </c>
      <c r="F115" s="49">
        <v>399</v>
      </c>
      <c r="G115" s="18">
        <f t="shared" si="48"/>
        <v>100</v>
      </c>
      <c r="H115" s="19">
        <f t="shared" si="51"/>
        <v>100</v>
      </c>
      <c r="I115" s="47">
        <v>399</v>
      </c>
      <c r="J115" s="48"/>
      <c r="K115" s="48">
        <v>399</v>
      </c>
      <c r="L115" s="49">
        <v>399</v>
      </c>
      <c r="M115" s="18">
        <f t="shared" si="52"/>
        <v>100</v>
      </c>
      <c r="N115" s="19">
        <f t="shared" si="53"/>
        <v>100</v>
      </c>
    </row>
    <row r="116" spans="1:14" ht="15.75" customHeight="1" thickBot="1">
      <c r="A116" s="122"/>
      <c r="B116" s="31" t="s">
        <v>69</v>
      </c>
      <c r="C116" s="52">
        <v>436</v>
      </c>
      <c r="D116" s="53"/>
      <c r="E116" s="53">
        <f>415+21</f>
        <v>436</v>
      </c>
      <c r="F116" s="54">
        <f>179+21</f>
        <v>200</v>
      </c>
      <c r="G116" s="24">
        <f t="shared" si="48"/>
        <v>45.87155963302752</v>
      </c>
      <c r="H116" s="25">
        <f t="shared" si="51"/>
        <v>45.87155963302752</v>
      </c>
      <c r="I116" s="52">
        <v>21</v>
      </c>
      <c r="J116" s="53"/>
      <c r="K116" s="53">
        <v>21</v>
      </c>
      <c r="L116" s="54">
        <v>21</v>
      </c>
      <c r="M116" s="24">
        <f t="shared" si="52"/>
        <v>100</v>
      </c>
      <c r="N116" s="25">
        <f t="shared" si="53"/>
        <v>100</v>
      </c>
    </row>
    <row r="117" spans="1:14" ht="25.5">
      <c r="A117" s="114" t="s">
        <v>50</v>
      </c>
      <c r="B117" s="70" t="s">
        <v>55</v>
      </c>
      <c r="C117" s="7">
        <f>SUM(C118:C119)</f>
        <v>7418</v>
      </c>
      <c r="D117" s="8">
        <f>SUM(D118:D119)</f>
        <v>0</v>
      </c>
      <c r="E117" s="8">
        <f>SUM(E118:E119)</f>
        <v>7418</v>
      </c>
      <c r="F117" s="9">
        <f>SUM(F118:F119)</f>
        <v>7418</v>
      </c>
      <c r="G117" s="10">
        <f t="shared" si="48"/>
        <v>100</v>
      </c>
      <c r="H117" s="11">
        <f t="shared" si="51"/>
        <v>100</v>
      </c>
      <c r="I117" s="7">
        <f>SUM(I118:I119)</f>
        <v>5115</v>
      </c>
      <c r="J117" s="8">
        <f>SUM(J118:J119)</f>
        <v>0</v>
      </c>
      <c r="K117" s="8">
        <f>SUM(K118:K119)</f>
        <v>5115</v>
      </c>
      <c r="L117" s="9">
        <f>SUM(L118:L119)</f>
        <v>5115</v>
      </c>
      <c r="M117" s="10">
        <f t="shared" si="52"/>
        <v>100</v>
      </c>
      <c r="N117" s="11">
        <f t="shared" si="53"/>
        <v>100</v>
      </c>
    </row>
    <row r="118" spans="1:14" ht="15" customHeight="1">
      <c r="A118" s="115"/>
      <c r="B118" s="14" t="s">
        <v>68</v>
      </c>
      <c r="C118" s="15">
        <v>2500</v>
      </c>
      <c r="D118" s="16"/>
      <c r="E118" s="16">
        <v>2500</v>
      </c>
      <c r="F118" s="17">
        <v>2500</v>
      </c>
      <c r="G118" s="18">
        <f t="shared" si="48"/>
        <v>100</v>
      </c>
      <c r="H118" s="19">
        <f t="shared" si="51"/>
        <v>100</v>
      </c>
      <c r="I118" s="15">
        <v>2500</v>
      </c>
      <c r="J118" s="16"/>
      <c r="K118" s="16">
        <v>2500</v>
      </c>
      <c r="L118" s="17">
        <v>2500</v>
      </c>
      <c r="M118" s="18">
        <f t="shared" si="52"/>
        <v>100</v>
      </c>
      <c r="N118" s="19">
        <f t="shared" si="53"/>
        <v>100</v>
      </c>
    </row>
    <row r="119" spans="1:14" ht="15" customHeight="1" thickBot="1">
      <c r="A119" s="116"/>
      <c r="B119" s="31" t="s">
        <v>69</v>
      </c>
      <c r="C119" s="21">
        <v>4918</v>
      </c>
      <c r="D119" s="22"/>
      <c r="E119" s="22">
        <f>2303+2615</f>
        <v>4918</v>
      </c>
      <c r="F119" s="23">
        <f>2303+2615</f>
        <v>4918</v>
      </c>
      <c r="G119" s="24">
        <f t="shared" si="48"/>
        <v>100</v>
      </c>
      <c r="H119" s="25">
        <f t="shared" si="51"/>
        <v>100</v>
      </c>
      <c r="I119" s="21">
        <v>2615</v>
      </c>
      <c r="J119" s="22"/>
      <c r="K119" s="22">
        <v>2615</v>
      </c>
      <c r="L119" s="23">
        <v>2615</v>
      </c>
      <c r="M119" s="24">
        <f t="shared" si="52"/>
        <v>100</v>
      </c>
      <c r="N119" s="25">
        <f t="shared" si="53"/>
        <v>100</v>
      </c>
    </row>
    <row r="120" spans="1:14" ht="25.5">
      <c r="A120" s="114" t="s">
        <v>51</v>
      </c>
      <c r="B120" s="70" t="s">
        <v>56</v>
      </c>
      <c r="C120" s="26">
        <f>SUM(C121:C122)</f>
        <v>5261</v>
      </c>
      <c r="D120" s="27">
        <f>SUM(D121:D122)</f>
        <v>0</v>
      </c>
      <c r="E120" s="27">
        <f>SUM(E121:E122)</f>
        <v>5261</v>
      </c>
      <c r="F120" s="28">
        <f>SUM(F121:F122)</f>
        <v>5259</v>
      </c>
      <c r="G120" s="29">
        <f t="shared" si="48"/>
        <v>99.96198441360958</v>
      </c>
      <c r="H120" s="30">
        <f aca="true" t="shared" si="54" ref="H120:H125">F120*100/E120</f>
        <v>99.96198441360958</v>
      </c>
      <c r="I120" s="26">
        <f>SUM(I121:I122)</f>
        <v>3421</v>
      </c>
      <c r="J120" s="27">
        <f>SUM(J121:J122)</f>
        <v>0</v>
      </c>
      <c r="K120" s="27">
        <f>SUM(K121:K122)</f>
        <v>3421</v>
      </c>
      <c r="L120" s="28">
        <f>SUM(L121:L122)</f>
        <v>3419</v>
      </c>
      <c r="M120" s="29">
        <f aca="true" t="shared" si="55" ref="M120:M125">L120*100/(I120+J120)</f>
        <v>99.94153756211634</v>
      </c>
      <c r="N120" s="30">
        <f aca="true" t="shared" si="56" ref="N120:N125">L120*100/K120</f>
        <v>99.94153756211634</v>
      </c>
    </row>
    <row r="121" spans="1:14" ht="15.75" customHeight="1">
      <c r="A121" s="115"/>
      <c r="B121" s="14" t="s">
        <v>68</v>
      </c>
      <c r="C121" s="15">
        <v>1500</v>
      </c>
      <c r="D121" s="16"/>
      <c r="E121" s="16">
        <v>1500</v>
      </c>
      <c r="F121" s="17">
        <v>1500</v>
      </c>
      <c r="G121" s="18">
        <f t="shared" si="48"/>
        <v>100</v>
      </c>
      <c r="H121" s="19">
        <f t="shared" si="54"/>
        <v>100</v>
      </c>
      <c r="I121" s="15">
        <v>1500</v>
      </c>
      <c r="J121" s="16"/>
      <c r="K121" s="16">
        <v>1500</v>
      </c>
      <c r="L121" s="17">
        <v>1500</v>
      </c>
      <c r="M121" s="18">
        <f t="shared" si="55"/>
        <v>100</v>
      </c>
      <c r="N121" s="19">
        <f t="shared" si="56"/>
        <v>100</v>
      </c>
    </row>
    <row r="122" spans="1:14" ht="15.75" customHeight="1" thickBot="1">
      <c r="A122" s="116"/>
      <c r="B122" s="31" t="s">
        <v>69</v>
      </c>
      <c r="C122" s="21">
        <v>3761</v>
      </c>
      <c r="D122" s="22"/>
      <c r="E122" s="22">
        <f>1840+1921</f>
        <v>3761</v>
      </c>
      <c r="F122" s="23">
        <f>1840+1919</f>
        <v>3759</v>
      </c>
      <c r="G122" s="24">
        <f t="shared" si="48"/>
        <v>99.94682265354959</v>
      </c>
      <c r="H122" s="25">
        <f t="shared" si="54"/>
        <v>99.94682265354959</v>
      </c>
      <c r="I122" s="21">
        <v>1921</v>
      </c>
      <c r="J122" s="22"/>
      <c r="K122" s="22">
        <v>1921</v>
      </c>
      <c r="L122" s="23">
        <v>1919</v>
      </c>
      <c r="M122" s="24">
        <f t="shared" si="55"/>
        <v>99.89588755856325</v>
      </c>
      <c r="N122" s="25">
        <f t="shared" si="56"/>
        <v>99.89588755856325</v>
      </c>
    </row>
    <row r="123" spans="1:14" ht="12.75">
      <c r="A123" s="114" t="s">
        <v>54</v>
      </c>
      <c r="B123" s="70" t="s">
        <v>57</v>
      </c>
      <c r="C123" s="7">
        <f>SUM(C124:C125)</f>
        <v>422</v>
      </c>
      <c r="D123" s="8">
        <f>SUM(D124:D125)</f>
        <v>0</v>
      </c>
      <c r="E123" s="8">
        <f>SUM(E124:E125)</f>
        <v>422</v>
      </c>
      <c r="F123" s="9">
        <f>SUM(F124:F125)</f>
        <v>413</v>
      </c>
      <c r="G123" s="10">
        <f t="shared" si="48"/>
        <v>97.86729857819905</v>
      </c>
      <c r="H123" s="11">
        <f t="shared" si="54"/>
        <v>97.86729857819905</v>
      </c>
      <c r="I123" s="7">
        <f>SUM(I124:I125)</f>
        <v>290</v>
      </c>
      <c r="J123" s="8">
        <f>SUM(J124:J125)</f>
        <v>0</v>
      </c>
      <c r="K123" s="8">
        <f>SUM(K124:K125)</f>
        <v>290</v>
      </c>
      <c r="L123" s="9">
        <f>SUM(L124:L125)</f>
        <v>289</v>
      </c>
      <c r="M123" s="10">
        <f t="shared" si="55"/>
        <v>99.65517241379311</v>
      </c>
      <c r="N123" s="11">
        <f t="shared" si="56"/>
        <v>99.65517241379311</v>
      </c>
    </row>
    <row r="124" spans="1:14" ht="12.75">
      <c r="A124" s="115"/>
      <c r="B124" s="14" t="s">
        <v>68</v>
      </c>
      <c r="C124" s="15">
        <v>276</v>
      </c>
      <c r="D124" s="16"/>
      <c r="E124" s="16">
        <v>276</v>
      </c>
      <c r="F124" s="17">
        <v>275</v>
      </c>
      <c r="G124" s="18">
        <f t="shared" si="48"/>
        <v>99.6376811594203</v>
      </c>
      <c r="H124" s="19">
        <f t="shared" si="54"/>
        <v>99.6376811594203</v>
      </c>
      <c r="I124" s="15">
        <v>276</v>
      </c>
      <c r="J124" s="16"/>
      <c r="K124" s="16">
        <v>276</v>
      </c>
      <c r="L124" s="17">
        <v>275</v>
      </c>
      <c r="M124" s="18">
        <f t="shared" si="55"/>
        <v>99.6376811594203</v>
      </c>
      <c r="N124" s="19">
        <f t="shared" si="56"/>
        <v>99.6376811594203</v>
      </c>
    </row>
    <row r="125" spans="1:14" ht="13.5" thickBot="1">
      <c r="A125" s="116"/>
      <c r="B125" s="31" t="s">
        <v>69</v>
      </c>
      <c r="C125" s="21">
        <v>146</v>
      </c>
      <c r="D125" s="22"/>
      <c r="E125" s="22">
        <f>132+14</f>
        <v>146</v>
      </c>
      <c r="F125" s="23">
        <f>124+14</f>
        <v>138</v>
      </c>
      <c r="G125" s="24">
        <f t="shared" si="48"/>
        <v>94.52054794520548</v>
      </c>
      <c r="H125" s="25">
        <f t="shared" si="54"/>
        <v>94.52054794520548</v>
      </c>
      <c r="I125" s="21">
        <v>14</v>
      </c>
      <c r="J125" s="22"/>
      <c r="K125" s="22">
        <v>14</v>
      </c>
      <c r="L125" s="23">
        <v>14</v>
      </c>
      <c r="M125" s="24">
        <f t="shared" si="55"/>
        <v>100</v>
      </c>
      <c r="N125" s="25">
        <f t="shared" si="56"/>
        <v>100</v>
      </c>
    </row>
  </sheetData>
  <sheetProtection/>
  <mergeCells count="45">
    <mergeCell ref="A114:A116"/>
    <mergeCell ref="A117:A119"/>
    <mergeCell ref="A120:A122"/>
    <mergeCell ref="A123:A125"/>
    <mergeCell ref="A57:A59"/>
    <mergeCell ref="A60:A62"/>
    <mergeCell ref="A111:A113"/>
    <mergeCell ref="A93:A95"/>
    <mergeCell ref="A96:A98"/>
    <mergeCell ref="A99:A101"/>
    <mergeCell ref="A63:A65"/>
    <mergeCell ref="A30:A32"/>
    <mergeCell ref="A33:A35"/>
    <mergeCell ref="A36:A38"/>
    <mergeCell ref="A39:A41"/>
    <mergeCell ref="A42:A44"/>
    <mergeCell ref="A48:A50"/>
    <mergeCell ref="A51:A53"/>
    <mergeCell ref="A54:A56"/>
    <mergeCell ref="A24:A26"/>
    <mergeCell ref="A27:A29"/>
    <mergeCell ref="A12:A14"/>
    <mergeCell ref="A15:A17"/>
    <mergeCell ref="A18:A20"/>
    <mergeCell ref="A21:A23"/>
    <mergeCell ref="A72:A74"/>
    <mergeCell ref="A75:A77"/>
    <mergeCell ref="A78:A80"/>
    <mergeCell ref="A2:N2"/>
    <mergeCell ref="A4:A5"/>
    <mergeCell ref="B4:B5"/>
    <mergeCell ref="C4:H4"/>
    <mergeCell ref="I4:N4"/>
    <mergeCell ref="A6:A8"/>
    <mergeCell ref="A45:A47"/>
    <mergeCell ref="A102:A104"/>
    <mergeCell ref="A105:A107"/>
    <mergeCell ref="A108:A110"/>
    <mergeCell ref="A9:A11"/>
    <mergeCell ref="A81:A83"/>
    <mergeCell ref="A84:A86"/>
    <mergeCell ref="A90:A92"/>
    <mergeCell ref="A87:A89"/>
    <mergeCell ref="A66:A68"/>
    <mergeCell ref="A69:A71"/>
  </mergeCells>
  <printOptions/>
  <pageMargins left="0.11811023622047245" right="0.11811023622047245" top="0.7480314960629921" bottom="0.15748031496062992" header="0.31496062992125984" footer="0.31496062992125984"/>
  <pageSetup fitToHeight="1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Титова Елена Валерьевна</cp:lastModifiedBy>
  <cp:lastPrinted>2012-03-06T03:35:29Z</cp:lastPrinted>
  <dcterms:created xsi:type="dcterms:W3CDTF">2011-12-13T05:04:22Z</dcterms:created>
  <dcterms:modified xsi:type="dcterms:W3CDTF">2012-03-06T06:37:17Z</dcterms:modified>
  <cp:category/>
  <cp:version/>
  <cp:contentType/>
  <cp:contentStatus/>
</cp:coreProperties>
</file>